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caudle.GHC\Documents\Active GaHum Files\+Financial - Contracts\"/>
    </mc:Choice>
  </mc:AlternateContent>
  <bookViews>
    <workbookView xWindow="-120" yWindow="-120" windowWidth="29040" windowHeight="15840" tabRatio="66"/>
  </bookViews>
  <sheets>
    <sheet name="Home" sheetId="3" r:id="rId1"/>
    <sheet name="FRGN" sheetId="22" r:id="rId2"/>
    <sheet name="CPNY" sheetId="1" r:id="rId3"/>
    <sheet name="INDV" sheetId="23" r:id="rId4"/>
    <sheet name="STPT" sheetId="24" r:id="rId5"/>
    <sheet name="Drop Down" sheetId="15" state="hidden" r:id="rId6"/>
  </sheets>
  <definedNames>
    <definedName name="_xlnm._FilterDatabase" localSheetId="2" hidden="1">CPNY!$B$2:$F$102</definedName>
    <definedName name="_xlnm._FilterDatabase" localSheetId="1" hidden="1">FRGN!$B$2:$F$72</definedName>
    <definedName name="_xlnm._FilterDatabase" localSheetId="3" hidden="1">INDV!$B$2:$F$102</definedName>
    <definedName name="_xlnm._FilterDatabase" localSheetId="4" hidden="1">STPT!$B$2:$F$102</definedName>
    <definedName name="_xlnm.Print_Area" localSheetId="2">CPNY!$A$1:$I$102</definedName>
    <definedName name="_xlnm.Print_Area" localSheetId="1">FRGN!$A$1:$H$72</definedName>
    <definedName name="_xlnm.Print_Area" localSheetId="3">INDV!$A$1:$I$102</definedName>
    <definedName name="_xlnm.Print_Area" localSheetId="4">STPT!$A$1:$I$102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4" l="1"/>
  <c r="B2" i="23"/>
  <c r="C102" i="24" l="1"/>
  <c r="G99" i="24"/>
  <c r="G97" i="24"/>
  <c r="C96" i="24"/>
  <c r="C95" i="24"/>
  <c r="G89" i="24"/>
  <c r="G88" i="24"/>
  <c r="G87" i="24"/>
  <c r="G86" i="24"/>
  <c r="C86" i="24"/>
  <c r="G85" i="24"/>
  <c r="C85" i="24"/>
  <c r="G84" i="24"/>
  <c r="G83" i="24"/>
  <c r="C83" i="24"/>
  <c r="C82" i="24"/>
  <c r="G81" i="24"/>
  <c r="G80" i="24"/>
  <c r="G79" i="24"/>
  <c r="G75" i="24"/>
  <c r="G72" i="24"/>
  <c r="G71" i="24"/>
  <c r="G70" i="24"/>
  <c r="G69" i="24"/>
  <c r="G68" i="24"/>
  <c r="C68" i="24"/>
  <c r="G66" i="24"/>
  <c r="G65" i="24"/>
  <c r="G64" i="24"/>
  <c r="G63" i="24"/>
  <c r="G56" i="24"/>
  <c r="C56" i="24"/>
  <c r="G55" i="24"/>
  <c r="C55" i="24"/>
  <c r="G54" i="24"/>
  <c r="G53" i="24"/>
  <c r="G52" i="24"/>
  <c r="G51" i="24"/>
  <c r="G50" i="24"/>
  <c r="G47" i="24"/>
  <c r="C47" i="24"/>
  <c r="G46" i="24"/>
  <c r="G45" i="24"/>
  <c r="G44" i="24"/>
  <c r="G43" i="24"/>
  <c r="G42" i="24"/>
  <c r="G40" i="24"/>
  <c r="C40" i="24"/>
  <c r="G39" i="24"/>
  <c r="C39" i="24"/>
  <c r="C36" i="24"/>
  <c r="C35" i="24"/>
  <c r="G28" i="24"/>
  <c r="G27" i="24"/>
  <c r="G26" i="24"/>
  <c r="G25" i="24"/>
  <c r="G24" i="24"/>
  <c r="G23" i="24"/>
  <c r="G22" i="24"/>
  <c r="G21" i="24"/>
  <c r="G19" i="24"/>
  <c r="G17" i="24"/>
  <c r="C17" i="24"/>
  <c r="C15" i="24"/>
  <c r="C14" i="24"/>
  <c r="C12" i="24"/>
  <c r="G9" i="24"/>
  <c r="B8" i="24"/>
  <c r="G7" i="24"/>
  <c r="B7" i="24"/>
  <c r="B6" i="24"/>
  <c r="G5" i="24"/>
  <c r="B5" i="24"/>
  <c r="G4" i="24"/>
  <c r="B4" i="24"/>
  <c r="B3" i="24"/>
  <c r="J2" i="24"/>
  <c r="G1" i="24"/>
  <c r="C102" i="23"/>
  <c r="G99" i="23"/>
  <c r="G97" i="23"/>
  <c r="C96" i="23"/>
  <c r="C95" i="23"/>
  <c r="G89" i="23"/>
  <c r="G88" i="23"/>
  <c r="G87" i="23"/>
  <c r="G86" i="23"/>
  <c r="C86" i="23"/>
  <c r="G85" i="23"/>
  <c r="C85" i="23"/>
  <c r="G84" i="23"/>
  <c r="G83" i="23"/>
  <c r="C83" i="23"/>
  <c r="C82" i="23"/>
  <c r="G81" i="23"/>
  <c r="G80" i="23"/>
  <c r="G79" i="23"/>
  <c r="G75" i="23"/>
  <c r="G72" i="23"/>
  <c r="G71" i="23"/>
  <c r="G70" i="23"/>
  <c r="G69" i="23"/>
  <c r="G68" i="23"/>
  <c r="C68" i="23"/>
  <c r="G66" i="23"/>
  <c r="G65" i="23"/>
  <c r="G64" i="23"/>
  <c r="G63" i="23"/>
  <c r="G56" i="23"/>
  <c r="C56" i="23"/>
  <c r="G55" i="23"/>
  <c r="C55" i="23"/>
  <c r="G54" i="23"/>
  <c r="G53" i="23"/>
  <c r="G52" i="23"/>
  <c r="G51" i="23"/>
  <c r="G50" i="23"/>
  <c r="G47" i="23"/>
  <c r="C47" i="23"/>
  <c r="G46" i="23"/>
  <c r="G45" i="23"/>
  <c r="G44" i="23"/>
  <c r="G43" i="23"/>
  <c r="G42" i="23"/>
  <c r="G40" i="23"/>
  <c r="C40" i="23"/>
  <c r="G39" i="23"/>
  <c r="C39" i="23"/>
  <c r="C36" i="23"/>
  <c r="C35" i="23"/>
  <c r="G28" i="23"/>
  <c r="G27" i="23"/>
  <c r="G26" i="23"/>
  <c r="G25" i="23"/>
  <c r="G24" i="23"/>
  <c r="G23" i="23"/>
  <c r="G22" i="23"/>
  <c r="G21" i="23"/>
  <c r="G19" i="23"/>
  <c r="G17" i="23"/>
  <c r="C17" i="23"/>
  <c r="C15" i="23"/>
  <c r="C14" i="23"/>
  <c r="C12" i="23"/>
  <c r="G9" i="23"/>
  <c r="B8" i="23"/>
  <c r="G7" i="23"/>
  <c r="B7" i="23"/>
  <c r="B6" i="23"/>
  <c r="G5" i="23"/>
  <c r="E5" i="23"/>
  <c r="B5" i="23" s="1"/>
  <c r="G4" i="23"/>
  <c r="B4" i="23"/>
  <c r="B3" i="23"/>
  <c r="J2" i="23"/>
  <c r="G1" i="23"/>
  <c r="F93" i="24" l="1"/>
  <c r="B93" i="24" s="1"/>
  <c r="F90" i="24"/>
  <c r="F92" i="24"/>
  <c r="F89" i="24"/>
  <c r="B89" i="24" s="1"/>
  <c r="F88" i="24"/>
  <c r="F87" i="24"/>
  <c r="B87" i="24" s="1"/>
  <c r="F84" i="24"/>
  <c r="B84" i="24" s="1"/>
  <c r="F83" i="24"/>
  <c r="F80" i="24"/>
  <c r="F79" i="24"/>
  <c r="B79" i="24" s="1"/>
  <c r="F78" i="24"/>
  <c r="F94" i="24"/>
  <c r="B94" i="24" s="1"/>
  <c r="F86" i="24"/>
  <c r="F85" i="24"/>
  <c r="F100" i="24"/>
  <c r="F99" i="24"/>
  <c r="F98" i="24"/>
  <c r="F97" i="24"/>
  <c r="F96" i="24"/>
  <c r="F95" i="24"/>
  <c r="F91" i="24"/>
  <c r="B102" i="24"/>
  <c r="B19" i="24"/>
  <c r="B14" i="24"/>
  <c r="B43" i="24"/>
  <c r="B61" i="24"/>
  <c r="B71" i="24"/>
  <c r="B21" i="24"/>
  <c r="B27" i="24"/>
  <c r="B38" i="24"/>
  <c r="B81" i="24"/>
  <c r="B16" i="24"/>
  <c r="B22" i="24"/>
  <c r="B62" i="24"/>
  <c r="B37" i="24"/>
  <c r="B44" i="24"/>
  <c r="B72" i="24"/>
  <c r="B12" i="24"/>
  <c r="B28" i="24"/>
  <c r="B39" i="24"/>
  <c r="B57" i="24"/>
  <c r="B63" i="24"/>
  <c r="B67" i="24"/>
  <c r="B82" i="24"/>
  <c r="B23" i="24"/>
  <c r="B34" i="24"/>
  <c r="B45" i="24"/>
  <c r="B50" i="24"/>
  <c r="B54" i="24"/>
  <c r="B68" i="24"/>
  <c r="B73" i="24"/>
  <c r="B18" i="24"/>
  <c r="B24" i="24"/>
  <c r="B40" i="24"/>
  <c r="B46" i="24"/>
  <c r="B74" i="24"/>
  <c r="B35" i="24"/>
  <c r="B69" i="24"/>
  <c r="B25" i="24"/>
  <c r="B41" i="24"/>
  <c r="B55" i="24"/>
  <c r="B101" i="24"/>
  <c r="B36" i="24"/>
  <c r="B42" i="24"/>
  <c r="B47" i="24"/>
  <c r="B70" i="24"/>
  <c r="B10" i="24"/>
  <c r="B20" i="24"/>
  <c r="B31" i="24"/>
  <c r="B26" i="24"/>
  <c r="B102" i="23"/>
  <c r="B37" i="23"/>
  <c r="B43" i="23"/>
  <c r="B61" i="23"/>
  <c r="B71" i="23"/>
  <c r="E93" i="23"/>
  <c r="B93" i="23" s="1"/>
  <c r="E11" i="23"/>
  <c r="B11" i="23" s="1"/>
  <c r="B16" i="23"/>
  <c r="B27" i="23"/>
  <c r="E32" i="23"/>
  <c r="B32" i="23" s="1"/>
  <c r="B38" i="23"/>
  <c r="E48" i="23"/>
  <c r="B48" i="23" s="1"/>
  <c r="E56" i="23"/>
  <c r="B56" i="23" s="1"/>
  <c r="E66" i="23"/>
  <c r="B66" i="23" s="1"/>
  <c r="E76" i="23"/>
  <c r="B76" i="23" s="1"/>
  <c r="B81" i="23"/>
  <c r="B21" i="23"/>
  <c r="E88" i="23"/>
  <c r="B22" i="23"/>
  <c r="B62" i="23"/>
  <c r="E85" i="23"/>
  <c r="B85" i="23" s="1"/>
  <c r="E98" i="23"/>
  <c r="B98" i="23" s="1"/>
  <c r="E15" i="23"/>
  <c r="B15" i="23" s="1"/>
  <c r="B44" i="23"/>
  <c r="E53" i="23"/>
  <c r="B53" i="23" s="1"/>
  <c r="E89" i="23"/>
  <c r="B89" i="23" s="1"/>
  <c r="E94" i="23"/>
  <c r="B94" i="23" s="1"/>
  <c r="B12" i="23"/>
  <c r="B28" i="23"/>
  <c r="E33" i="23"/>
  <c r="B33" i="23" s="1"/>
  <c r="B39" i="23"/>
  <c r="E49" i="23"/>
  <c r="B49" i="23" s="1"/>
  <c r="B67" i="23"/>
  <c r="E72" i="23"/>
  <c r="B72" i="23" s="1"/>
  <c r="E77" i="23"/>
  <c r="B77" i="23" s="1"/>
  <c r="E17" i="23"/>
  <c r="B17" i="23" s="1"/>
  <c r="B23" i="23"/>
  <c r="E57" i="23"/>
  <c r="B57" i="23" s="1"/>
  <c r="E63" i="23"/>
  <c r="B63" i="23" s="1"/>
  <c r="B82" i="23"/>
  <c r="E99" i="23"/>
  <c r="B99" i="23" s="1"/>
  <c r="B45" i="23"/>
  <c r="B95" i="23"/>
  <c r="E13" i="23"/>
  <c r="B13" i="23" s="1"/>
  <c r="E34" i="23"/>
  <c r="B34" i="23" s="1"/>
  <c r="E50" i="23"/>
  <c r="B50" i="23" s="1"/>
  <c r="E54" i="23"/>
  <c r="B54" i="23" s="1"/>
  <c r="B68" i="23"/>
  <c r="B73" i="23"/>
  <c r="E78" i="23"/>
  <c r="B78" i="23" s="1"/>
  <c r="E86" i="23"/>
  <c r="B86" i="23" s="1"/>
  <c r="E90" i="23"/>
  <c r="B90" i="23" s="1"/>
  <c r="E95" i="23"/>
  <c r="B18" i="23"/>
  <c r="B24" i="23"/>
  <c r="E29" i="23"/>
  <c r="B29" i="23" s="1"/>
  <c r="B40" i="23"/>
  <c r="E58" i="23"/>
  <c r="B58" i="23" s="1"/>
  <c r="B46" i="23"/>
  <c r="E64" i="23"/>
  <c r="B64" i="23" s="1"/>
  <c r="E83" i="23"/>
  <c r="B83" i="23" s="1"/>
  <c r="E100" i="23"/>
  <c r="B100" i="23" s="1"/>
  <c r="E9" i="23"/>
  <c r="B9" i="23" s="1"/>
  <c r="B19" i="23"/>
  <c r="B35" i="23"/>
  <c r="B69" i="23"/>
  <c r="E74" i="23"/>
  <c r="B74" i="23" s="1"/>
  <c r="E79" i="23"/>
  <c r="B79" i="23" s="1"/>
  <c r="E91" i="23"/>
  <c r="B91" i="23" s="1"/>
  <c r="E14" i="23"/>
  <c r="B14" i="23" s="1"/>
  <c r="B25" i="23"/>
  <c r="E30" i="23"/>
  <c r="B30" i="23" s="1"/>
  <c r="B41" i="23"/>
  <c r="E51" i="23"/>
  <c r="B51" i="23" s="1"/>
  <c r="E59" i="23"/>
  <c r="B59" i="23" s="1"/>
  <c r="E87" i="23"/>
  <c r="B87" i="23" s="1"/>
  <c r="E96" i="23"/>
  <c r="B96" i="23" s="1"/>
  <c r="B101" i="23"/>
  <c r="E55" i="23"/>
  <c r="B55" i="23" s="1"/>
  <c r="E52" i="23"/>
  <c r="B52" i="23" s="1"/>
  <c r="B20" i="23"/>
  <c r="B36" i="23"/>
  <c r="B42" i="23"/>
  <c r="B47" i="23"/>
  <c r="E65" i="23"/>
  <c r="B65" i="23" s="1"/>
  <c r="B70" i="23"/>
  <c r="E75" i="23"/>
  <c r="B75" i="23" s="1"/>
  <c r="E84" i="23"/>
  <c r="B84" i="23" s="1"/>
  <c r="E92" i="23"/>
  <c r="B92" i="23" s="1"/>
  <c r="E10" i="23"/>
  <c r="B10" i="23" s="1"/>
  <c r="B26" i="23"/>
  <c r="E31" i="23"/>
  <c r="B31" i="23" s="1"/>
  <c r="E60" i="23"/>
  <c r="B60" i="23" s="1"/>
  <c r="E80" i="23"/>
  <c r="B80" i="23" s="1"/>
  <c r="B88" i="23"/>
  <c r="E97" i="23"/>
  <c r="B97" i="23" s="1"/>
  <c r="G71" i="1"/>
  <c r="G70" i="1"/>
  <c r="G69" i="1"/>
  <c r="B58" i="24" l="1"/>
  <c r="B17" i="24"/>
  <c r="B53" i="24"/>
  <c r="B76" i="24"/>
  <c r="B15" i="24"/>
  <c r="B9" i="24"/>
  <c r="B64" i="24"/>
  <c r="B48" i="24"/>
  <c r="B59" i="24"/>
  <c r="B32" i="24"/>
  <c r="B88" i="24"/>
  <c r="B52" i="24"/>
  <c r="B100" i="24"/>
  <c r="B66" i="24"/>
  <c r="B92" i="24"/>
  <c r="B75" i="24"/>
  <c r="B83" i="24"/>
  <c r="B98" i="24"/>
  <c r="B65" i="24"/>
  <c r="B29" i="24"/>
  <c r="B77" i="24"/>
  <c r="B85" i="24"/>
  <c r="B56" i="24"/>
  <c r="B97" i="24"/>
  <c r="B51" i="24"/>
  <c r="B99" i="24"/>
  <c r="B49" i="24"/>
  <c r="B95" i="24"/>
  <c r="B30" i="24"/>
  <c r="B90" i="24"/>
  <c r="B11" i="24"/>
  <c r="B80" i="24"/>
  <c r="B86" i="24"/>
  <c r="B33" i="24"/>
  <c r="B78" i="24"/>
  <c r="B91" i="24"/>
  <c r="B60" i="24"/>
  <c r="B96" i="24"/>
  <c r="B13" i="24"/>
  <c r="G2" i="23"/>
  <c r="B2" i="1"/>
  <c r="G72" i="1"/>
  <c r="G89" i="1"/>
  <c r="G87" i="1"/>
  <c r="G88" i="1"/>
  <c r="G84" i="1"/>
  <c r="G85" i="1"/>
  <c r="G86" i="1"/>
  <c r="G2" i="24" l="1"/>
  <c r="G66" i="1"/>
  <c r="G63" i="1" l="1"/>
  <c r="G68" i="1" l="1"/>
  <c r="G65" i="1"/>
  <c r="G56" i="1"/>
  <c r="G55" i="1"/>
  <c r="G54" i="1"/>
  <c r="G53" i="1"/>
  <c r="G52" i="1"/>
  <c r="G51" i="1"/>
  <c r="G50" i="1"/>
  <c r="G47" i="1"/>
  <c r="G46" i="1"/>
  <c r="G45" i="1"/>
  <c r="G44" i="1"/>
  <c r="G43" i="1"/>
  <c r="G42" i="1"/>
  <c r="G40" i="1"/>
  <c r="G39" i="1"/>
  <c r="G17" i="1"/>
  <c r="G6" i="22"/>
  <c r="G40" i="22"/>
  <c r="G37" i="22"/>
  <c r="G36" i="22"/>
  <c r="G35" i="22"/>
  <c r="G34" i="22"/>
  <c r="G33" i="22"/>
  <c r="G21" i="22"/>
  <c r="G18" i="22"/>
  <c r="G17" i="22"/>
  <c r="G15" i="22"/>
  <c r="G16" i="22"/>
  <c r="D5" i="22" l="1"/>
  <c r="D6" i="22"/>
  <c r="G5" i="22"/>
  <c r="G4" i="22"/>
  <c r="G83" i="1" l="1"/>
  <c r="C9" i="3"/>
  <c r="G64" i="1" l="1"/>
  <c r="G19" i="1"/>
  <c r="G5" i="1"/>
  <c r="G4" i="1"/>
  <c r="D5" i="1" l="1"/>
  <c r="G1" i="22" l="1"/>
  <c r="C34" i="22"/>
  <c r="G99" i="1" l="1"/>
  <c r="G75" i="1" l="1"/>
  <c r="G70" i="22"/>
  <c r="G41" i="22"/>
  <c r="C17" i="22"/>
  <c r="B8" i="22" l="1"/>
  <c r="B6" i="22"/>
  <c r="B4" i="22"/>
  <c r="B8" i="1"/>
  <c r="B6" i="1"/>
  <c r="B4" i="1"/>
  <c r="C83" i="1"/>
  <c r="G28" i="1"/>
  <c r="G27" i="1"/>
  <c r="G26" i="1"/>
  <c r="G25" i="1"/>
  <c r="G24" i="1"/>
  <c r="G23" i="1"/>
  <c r="G22" i="1"/>
  <c r="G21" i="1"/>
  <c r="G1" i="1" l="1"/>
  <c r="C60" i="22"/>
  <c r="G46" i="22"/>
  <c r="C16" i="22"/>
  <c r="B3" i="22" l="1"/>
  <c r="C102" i="1" l="1"/>
  <c r="C85" i="1"/>
  <c r="C55" i="1"/>
  <c r="C47" i="1"/>
  <c r="C14" i="1"/>
  <c r="C35" i="1"/>
  <c r="G3" i="22" l="1"/>
  <c r="G9" i="22"/>
  <c r="G59" i="22"/>
  <c r="G24" i="22"/>
  <c r="G25" i="22"/>
  <c r="G26" i="22"/>
  <c r="G27" i="22"/>
  <c r="G7" i="22"/>
  <c r="D7" i="22"/>
  <c r="B7" i="22" s="1"/>
  <c r="B5" i="22"/>
  <c r="G61" i="22"/>
  <c r="C59" i="22"/>
  <c r="L4" i="15"/>
  <c r="D18" i="22" l="1"/>
  <c r="B18" i="22" s="1"/>
  <c r="D40" i="22"/>
  <c r="B40" i="22" s="1"/>
  <c r="D33" i="22"/>
  <c r="B33" i="22" s="1"/>
  <c r="D21" i="22"/>
  <c r="B21" i="22" s="1"/>
  <c r="D15" i="22"/>
  <c r="B15" i="22" s="1"/>
  <c r="D17" i="22"/>
  <c r="B17" i="22" s="1"/>
  <c r="D16" i="22"/>
  <c r="B16" i="22" s="1"/>
  <c r="D35" i="22"/>
  <c r="B35" i="22" s="1"/>
  <c r="D41" i="22"/>
  <c r="B41" i="22" s="1"/>
  <c r="D34" i="22"/>
  <c r="B34" i="22" s="1"/>
  <c r="D37" i="22"/>
  <c r="B37" i="22" s="1"/>
  <c r="D36" i="22"/>
  <c r="B36" i="22" s="1"/>
  <c r="D32" i="22"/>
  <c r="B32" i="22" s="1"/>
  <c r="D70" i="22"/>
  <c r="B70" i="22" s="1"/>
  <c r="D59" i="22"/>
  <c r="B59" i="22" s="1"/>
  <c r="D57" i="22"/>
  <c r="B57" i="22" s="1"/>
  <c r="D65" i="22"/>
  <c r="B65" i="22" s="1"/>
  <c r="D66" i="22"/>
  <c r="B66" i="22" s="1"/>
  <c r="D71" i="22"/>
  <c r="B71" i="22" s="1"/>
  <c r="D69" i="22"/>
  <c r="B69" i="22" s="1"/>
  <c r="D72" i="22"/>
  <c r="B72" i="22" s="1"/>
  <c r="D63" i="22"/>
  <c r="B63" i="22" s="1"/>
  <c r="D53" i="22"/>
  <c r="B53" i="22" s="1"/>
  <c r="D60" i="22"/>
  <c r="B60" i="22" s="1"/>
  <c r="D58" i="22"/>
  <c r="B58" i="22" s="1"/>
  <c r="D49" i="22"/>
  <c r="B49" i="22" s="1"/>
  <c r="D55" i="22"/>
  <c r="B55" i="22" s="1"/>
  <c r="D54" i="22"/>
  <c r="B54" i="22" s="1"/>
  <c r="D50" i="22"/>
  <c r="B50" i="22" s="1"/>
  <c r="D51" i="22"/>
  <c r="B51" i="22" s="1"/>
  <c r="D46" i="22"/>
  <c r="B46" i="22" s="1"/>
  <c r="D47" i="22"/>
  <c r="B47" i="22" s="1"/>
  <c r="D48" i="22"/>
  <c r="B48" i="22" s="1"/>
  <c r="D67" i="22"/>
  <c r="B67" i="22" s="1"/>
  <c r="D45" i="22"/>
  <c r="B45" i="22" s="1"/>
  <c r="D62" i="22"/>
  <c r="B62" i="22" s="1"/>
  <c r="D68" i="22"/>
  <c r="B68" i="22" s="1"/>
  <c r="D44" i="22"/>
  <c r="B44" i="22" s="1"/>
  <c r="D52" i="22"/>
  <c r="B52" i="22" s="1"/>
  <c r="D56" i="22"/>
  <c r="B56" i="22" s="1"/>
  <c r="D64" i="22"/>
  <c r="B64" i="22" s="1"/>
  <c r="D61" i="22"/>
  <c r="B61" i="22" s="1"/>
  <c r="D28" i="22"/>
  <c r="B28" i="22" s="1"/>
  <c r="D27" i="22"/>
  <c r="B27" i="22" s="1"/>
  <c r="D26" i="22"/>
  <c r="B26" i="22" s="1"/>
  <c r="D25" i="22"/>
  <c r="B25" i="22" s="1"/>
  <c r="D24" i="22"/>
  <c r="B24" i="22" s="1"/>
  <c r="D20" i="22"/>
  <c r="B20" i="22" s="1"/>
  <c r="D42" i="22"/>
  <c r="B42" i="22" s="1"/>
  <c r="D14" i="22"/>
  <c r="B14" i="22" s="1"/>
  <c r="D39" i="22"/>
  <c r="B39" i="22" s="1"/>
  <c r="D29" i="22"/>
  <c r="B29" i="22" s="1"/>
  <c r="D23" i="22"/>
  <c r="B23" i="22" s="1"/>
  <c r="D22" i="22"/>
  <c r="B22" i="22" s="1"/>
  <c r="D19" i="22"/>
  <c r="B19" i="22" s="1"/>
  <c r="D12" i="22"/>
  <c r="B12" i="22" s="1"/>
  <c r="D13" i="22"/>
  <c r="B13" i="22" s="1"/>
  <c r="D43" i="22"/>
  <c r="B43" i="22" s="1"/>
  <c r="D10" i="22"/>
  <c r="B10" i="22" s="1"/>
  <c r="D38" i="22"/>
  <c r="B38" i="22" s="1"/>
  <c r="D11" i="22"/>
  <c r="B11" i="22" s="1"/>
  <c r="D31" i="22"/>
  <c r="B31" i="22" s="1"/>
  <c r="D30" i="22"/>
  <c r="B30" i="22" s="1"/>
  <c r="D9" i="22"/>
  <c r="B9" i="22" s="1"/>
  <c r="G68" i="22"/>
  <c r="G45" i="22"/>
  <c r="C56" i="22"/>
  <c r="C67" i="22"/>
  <c r="C65" i="22"/>
  <c r="C51" i="22"/>
  <c r="C50" i="22"/>
  <c r="G2" i="22" l="1"/>
  <c r="C82" i="1"/>
  <c r="B5" i="1"/>
  <c r="G7" i="1"/>
  <c r="D7" i="1"/>
  <c r="B7" i="1" s="1"/>
  <c r="G9" i="1"/>
  <c r="D70" i="1" l="1"/>
  <c r="B70" i="1" s="1"/>
  <c r="D71" i="1"/>
  <c r="B71" i="1" s="1"/>
  <c r="D69" i="1"/>
  <c r="B69" i="1" s="1"/>
  <c r="D72" i="1"/>
  <c r="B72" i="1" s="1"/>
  <c r="D20" i="1"/>
  <c r="D17" i="1"/>
  <c r="D56" i="1"/>
  <c r="D47" i="1"/>
  <c r="B47" i="1" s="1"/>
  <c r="D55" i="1"/>
  <c r="D53" i="1"/>
  <c r="D52" i="1"/>
  <c r="D54" i="1"/>
  <c r="D50" i="1"/>
  <c r="D46" i="1"/>
  <c r="B46" i="1" s="1"/>
  <c r="D44" i="1"/>
  <c r="B44" i="1" s="1"/>
  <c r="D45" i="1"/>
  <c r="B45" i="1" s="1"/>
  <c r="D42" i="1"/>
  <c r="B42" i="1" s="1"/>
  <c r="D41" i="1"/>
  <c r="B41" i="1" s="1"/>
  <c r="D49" i="1"/>
  <c r="D22" i="1"/>
  <c r="D21" i="1"/>
  <c r="D23" i="1"/>
  <c r="D24" i="1"/>
  <c r="D25" i="1"/>
  <c r="B25" i="1" s="1"/>
  <c r="D26" i="1"/>
  <c r="B26" i="1" s="1"/>
  <c r="D27" i="1"/>
  <c r="D28" i="1"/>
  <c r="D83" i="1"/>
  <c r="B83" i="1" s="1"/>
  <c r="D39" i="1"/>
  <c r="B39" i="1" s="1"/>
  <c r="D99" i="1"/>
  <c r="B99" i="1" s="1"/>
  <c r="D75" i="1"/>
  <c r="B75" i="1" s="1"/>
  <c r="D101" i="1"/>
  <c r="B101" i="1" s="1"/>
  <c r="D97" i="1"/>
  <c r="B97" i="1" s="1"/>
  <c r="D85" i="1"/>
  <c r="B85" i="1" s="1"/>
  <c r="D100" i="1"/>
  <c r="B100" i="1" s="1"/>
  <c r="D96" i="1"/>
  <c r="B96" i="1" s="1"/>
  <c r="D92" i="1"/>
  <c r="B92" i="1" s="1"/>
  <c r="D88" i="1"/>
  <c r="B88" i="1" s="1"/>
  <c r="D84" i="1"/>
  <c r="B84" i="1" s="1"/>
  <c r="D78" i="1"/>
  <c r="B78" i="1" s="1"/>
  <c r="D82" i="1"/>
  <c r="B82" i="1" s="1"/>
  <c r="D91" i="1"/>
  <c r="B91" i="1" s="1"/>
  <c r="D87" i="1"/>
  <c r="B87" i="1" s="1"/>
  <c r="D95" i="1"/>
  <c r="B95" i="1" s="1"/>
  <c r="D81" i="1"/>
  <c r="B81" i="1" s="1"/>
  <c r="D98" i="1"/>
  <c r="B98" i="1" s="1"/>
  <c r="D94" i="1"/>
  <c r="B94" i="1" s="1"/>
  <c r="D90" i="1"/>
  <c r="B90" i="1" s="1"/>
  <c r="D86" i="1"/>
  <c r="B86" i="1" s="1"/>
  <c r="D80" i="1"/>
  <c r="B80" i="1" s="1"/>
  <c r="D102" i="1"/>
  <c r="B102" i="1" s="1"/>
  <c r="D93" i="1"/>
  <c r="B93" i="1" s="1"/>
  <c r="D89" i="1"/>
  <c r="B89" i="1" s="1"/>
  <c r="D79" i="1"/>
  <c r="B79" i="1" s="1"/>
  <c r="D19" i="1"/>
  <c r="D68" i="1"/>
  <c r="B68" i="1" s="1"/>
  <c r="D40" i="1"/>
  <c r="B40" i="1" s="1"/>
  <c r="D65" i="1"/>
  <c r="B65" i="1" s="1"/>
  <c r="D66" i="1"/>
  <c r="B66" i="1" s="1"/>
  <c r="D43" i="1"/>
  <c r="B43" i="1" s="1"/>
  <c r="D51" i="1"/>
  <c r="D31" i="1"/>
  <c r="D76" i="1"/>
  <c r="B76" i="1" s="1"/>
  <c r="D74" i="1"/>
  <c r="B74" i="1" s="1"/>
  <c r="D67" i="1"/>
  <c r="B67" i="1" s="1"/>
  <c r="D73" i="1"/>
  <c r="B73" i="1" s="1"/>
  <c r="D64" i="1"/>
  <c r="D63" i="1"/>
  <c r="D59" i="1"/>
  <c r="D62" i="1"/>
  <c r="D61" i="1"/>
  <c r="B61" i="1" s="1"/>
  <c r="D60" i="1"/>
  <c r="D38" i="1"/>
  <c r="B38" i="1" s="1"/>
  <c r="D36" i="1"/>
  <c r="B36" i="1" s="1"/>
  <c r="D35" i="1"/>
  <c r="B35" i="1" s="1"/>
  <c r="D33" i="1"/>
  <c r="D32" i="1"/>
  <c r="D34" i="1"/>
  <c r="D30" i="1"/>
  <c r="D12" i="1"/>
  <c r="B12" i="1" s="1"/>
  <c r="D18" i="1"/>
  <c r="D14" i="1"/>
  <c r="D13" i="1"/>
  <c r="D15" i="1"/>
  <c r="D16" i="1"/>
  <c r="D10" i="1"/>
  <c r="D77" i="1"/>
  <c r="B77" i="1" s="1"/>
  <c r="D58" i="1"/>
  <c r="D57" i="1"/>
  <c r="D37" i="1"/>
  <c r="B37" i="1" s="1"/>
  <c r="D48" i="1"/>
  <c r="D29" i="1"/>
  <c r="D11" i="1"/>
  <c r="D9" i="1"/>
  <c r="B3" i="1"/>
  <c r="G79" i="1"/>
  <c r="G80" i="1"/>
  <c r="G81" i="1"/>
  <c r="C86" i="1"/>
  <c r="C95" i="1"/>
  <c r="C96" i="1"/>
  <c r="G97" i="1"/>
  <c r="B9" i="1" l="1"/>
  <c r="B33" i="1"/>
  <c r="B29" i="1"/>
  <c r="B34" i="1"/>
  <c r="B49" i="1"/>
  <c r="B56" i="1"/>
  <c r="B50" i="1"/>
  <c r="B55" i="1"/>
  <c r="B64" i="1"/>
  <c r="B59" i="1"/>
  <c r="B32" i="1"/>
  <c r="B48" i="1"/>
  <c r="B54" i="1"/>
  <c r="B52" i="1"/>
  <c r="B21" i="1"/>
  <c r="B58" i="1"/>
  <c r="B27" i="1"/>
  <c r="B22" i="1"/>
  <c r="B53" i="1"/>
  <c r="B23" i="1"/>
  <c r="B57" i="1"/>
  <c r="B62" i="1"/>
  <c r="B24" i="1"/>
  <c r="B60" i="1"/>
  <c r="B31" i="1"/>
  <c r="B51" i="1"/>
  <c r="B30" i="1"/>
  <c r="B28" i="1"/>
  <c r="B63" i="1"/>
  <c r="B10" i="1"/>
  <c r="B19" i="1"/>
  <c r="B14" i="1"/>
  <c r="B13" i="1"/>
  <c r="B11" i="1"/>
  <c r="B18" i="1"/>
  <c r="B16" i="1"/>
  <c r="B20" i="1"/>
  <c r="C8" i="3"/>
  <c r="B2" i="22" l="1"/>
  <c r="G20" i="22"/>
  <c r="C14" i="22" l="1"/>
  <c r="C13" i="22"/>
  <c r="J2" i="22"/>
  <c r="J2" i="1"/>
  <c r="C68" i="1" l="1"/>
  <c r="C56" i="1" l="1"/>
  <c r="C39" i="1"/>
  <c r="C36" i="1"/>
  <c r="C15" i="1"/>
  <c r="B15" i="1" s="1"/>
  <c r="C12" i="1"/>
  <c r="C40" i="1"/>
  <c r="C17" i="1"/>
  <c r="B17" i="1" s="1"/>
  <c r="G2" i="1" l="1"/>
</calcChain>
</file>

<file path=xl/comments1.xml><?xml version="1.0" encoding="utf-8"?>
<comments xmlns="http://schemas.openxmlformats.org/spreadsheetml/2006/main">
  <authors>
    <author>Tran, Paul Anthony</author>
  </authors>
  <commentList>
    <comment ref="G17" authorId="0" shapeId="0">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comments2.xml><?xml version="1.0" encoding="utf-8"?>
<comments xmlns="http://schemas.openxmlformats.org/spreadsheetml/2006/main">
  <authors>
    <author>Tran, Paul Anthony</author>
  </authors>
  <commentList>
    <comment ref="G12" authorId="0" shapeId="0">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 ref="G64" authorId="0" shapeId="0">
      <text>
        <r>
          <rPr>
            <b/>
            <sz val="9"/>
            <color indexed="81"/>
            <rFont val="Tahoma"/>
            <family val="2"/>
          </rPr>
          <t xml:space="preserve">Emory requires its employees to avoid any business or financial relationship, transaction or event that may be viewed, internally or externally, as a conflict of interest between an employee and an outside party. As provided in the Emory By-laws, relations between Emory and contractors, consultants, vendors, suppliers and other third parties are to be maintained without any direct or indirect personal or financial benefit accruing to any employee of Emory or any member of the employee’s family.
Specific circumstances, which may constitute a conflict of interest, include, but are not limited to, the following:
Holding, either directly or indirectly, a position or financial interest* in an outside concern which provides services competitive with services rendered by Emory, or an outside concern from which Emory secures goods or services if the employee is involved in or may influence the ordering of such goods or services.
Competing, either directly or indirectly, with Emory in the purchase or sale of property or property rights, interests or services.
Disclosing or using non-public information obtained through Emory employment for personal profit or gain or for the profit or gain of an immediate family member.
Accepting gratuities or special favors, such as meals, airline tickets, hotel accommodations, entertainment, sporting event tickets, etc., from any outside concern that does, or is seeking to do business with Emory, or extending gratuities or special favors to employees of Emory, under circumstances which might reasonably be interpreted as an attempt to influence the employees in the performance of their duties. This does not include the acceptance of items of nominal or minor value ($40.00 or less) that are clearly tokens of respect or friendship and are not related to any particular transaction or activity of the university, nor does it include
business-related social events where the employee is representing the university’s interests.
Retaining, directly or indirectly, consultants who have a financial interest or employment that conflicts with services (including sponsored research) provided by Emory.
Any existing or proposed relationship, transaction or other event, which may raise a conflict of interest issue, is to be disclosed to the employee’s dean, director or vice president in writing to determine its appropriateness and to receive specific approval to maintain or proceed with such relationship, transaction or event.
</t>
        </r>
        <r>
          <rPr>
            <sz val="9"/>
            <color indexed="81"/>
            <rFont val="Tahoma"/>
            <family val="2"/>
          </rPr>
          <t xml:space="preserve">
</t>
        </r>
      </text>
    </comment>
    <comment ref="G67" authorId="0" shapeId="0">
      <text>
        <r>
          <rPr>
            <b/>
            <sz val="9"/>
            <color indexed="81"/>
            <rFont val="Tahoma"/>
            <family val="2"/>
          </rPr>
          <t xml:space="preserve">J.P. Morgan’s Single-Use Accounts (SUA) Program
This is an electronic card payment solution that enables us to make payment processes faster and more efficient. 
This is a voluntary payment solution that Emory is offering to expedite your payments.  
If you agree to participate in the program, we will convert your payment method to SUA. This means that you will get paid immediately upon invoice approval.
Emory does not charge any fee for this payment method however please check with your respective bank on the merchant exchange fee that they may charge which is generally 2.5% to 3%
The benefits to this program include: 
• Accelerated payments (i.e. payable upon invoice approval) that will help reduce days sales outstanding (DSO), improving cash flow for your Company
• Simplified process that eliminates check processing costs and helps reduce administration expense, account collections and follow-up
• Strengthens our business relationship
We are excited about the opportunity to improve processes for both of our organizations and to strengthen our business partnership. We are strongly committed to achieving 100% participation from our valued suppliers, such as you, with this program.
This is a great opportunity to partner with Emory University, JP Morgan Chase and our valued suppliers. We are enthused about this program and we hope you are too!
For additional questions, please contact J.P Morgan at 877-263-5184
</t>
        </r>
      </text>
    </comment>
    <comment ref="G82" authorId="0" shapeId="0">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comments3.xml><?xml version="1.0" encoding="utf-8"?>
<comments xmlns="http://schemas.openxmlformats.org/spreadsheetml/2006/main">
  <authors>
    <author>Tran, Paul Anthony</author>
  </authors>
  <commentList>
    <comment ref="G12" authorId="0" shapeId="0">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 ref="G64" authorId="0" shapeId="0">
      <text>
        <r>
          <rPr>
            <b/>
            <sz val="9"/>
            <color indexed="81"/>
            <rFont val="Tahoma"/>
            <family val="2"/>
          </rPr>
          <t xml:space="preserve">Emory requires its employees to avoid any business or financial relationship, transaction or event that may be viewed, internally or externally, as a conflict of interest between an employee and an outside party. As provided in the Emory By-laws, relations between Emory and contractors, consultants, vendors, suppliers and other third parties are to be maintained without any direct or indirect personal or financial benefit accruing to any employee of Emory or any member of the employee’s family.
Specific circumstances, which may constitute a conflict of interest, include, but are not limited to, the following:
Holding, either directly or indirectly, a position or financial interest* in an outside concern which provides services competitive with services rendered by Emory, or an outside concern from which Emory secures goods or services if the employee is involved in or may influence the ordering of such goods or services.
Competing, either directly or indirectly, with Emory in the purchase or sale of property or property rights, interests or services.
Disclosing or using non-public information obtained through Emory employment for personal profit or gain or for the profit or gain of an immediate family member.
Accepting gratuities or special favors, such as meals, airline tickets, hotel accommodations, entertainment, sporting event tickets, etc., from any outside concern that does, or is seeking to do business with Emory, or extending gratuities or special favors to employees of Emory, under circumstances which might reasonably be interpreted as an attempt to influence the employees in the performance of their duties. This does not include the acceptance of items of nominal or minor value ($40.00 or less) that are clearly tokens of respect or friendship and are not related to any particular transaction or activity of the university, nor does it include
business-related social events where the employee is representing the university’s interests.
Retaining, directly or indirectly, consultants who have a financial interest or employment that conflicts with services (including sponsored research) provided by Emory.
Any existing or proposed relationship, transaction or other event, which may raise a conflict of interest issue, is to be disclosed to the employee’s dean, director or vice president in writing to determine its appropriateness and to receive specific approval to maintain or proceed with such relationship, transaction or event.
</t>
        </r>
        <r>
          <rPr>
            <sz val="9"/>
            <color indexed="81"/>
            <rFont val="Tahoma"/>
            <family val="2"/>
          </rPr>
          <t xml:space="preserve">
</t>
        </r>
      </text>
    </comment>
    <comment ref="G67" authorId="0" shapeId="0">
      <text>
        <r>
          <rPr>
            <b/>
            <sz val="9"/>
            <color indexed="81"/>
            <rFont val="Tahoma"/>
            <family val="2"/>
          </rPr>
          <t xml:space="preserve">J.P. Morgan’s Single-Use Accounts (SUA) Program
This is an electronic card payment solution that enables us to make payment processes faster and more efficient. 
This is a voluntary payment solution that Emory is offering to expedite your payments.  
If you agree to participate in the program, we will convert your payment method to SUA. This means that you will get paid immediately upon invoice approval.
Emory does not charge any fee for this payment method however please check with your respective bank on the merchant exchange fee that they may charge which is generally 2.5% to 3%
The benefits to this program include: 
• Accelerated payments (i.e. payable upon invoice approval) that will help reduce days sales outstanding (DSO), improving cash flow for your Company
• Simplified process that eliminates check processing costs and helps reduce administration expense, account collections and follow-up
• Strengthens our business relationship
We are excited about the opportunity to improve processes for both of our organizations and to strengthen our business partnership. We are strongly committed to achieving 100% participation from our valued suppliers, such as you, with this program.
This is a great opportunity to partner with Emory University, JP Morgan Chase and our valued suppliers. We are enthused about this program and we hope you are too!
For additional questions, please contact J.P Morgan at 877-263-5184
</t>
        </r>
      </text>
    </comment>
    <comment ref="G82" authorId="0" shapeId="0">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comments4.xml><?xml version="1.0" encoding="utf-8"?>
<comments xmlns="http://schemas.openxmlformats.org/spreadsheetml/2006/main">
  <authors>
    <author>Tran, Paul Anthony</author>
  </authors>
  <commentList>
    <comment ref="G12" authorId="0" shapeId="0">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 ref="G64" authorId="0" shapeId="0">
      <text>
        <r>
          <rPr>
            <b/>
            <sz val="9"/>
            <color indexed="81"/>
            <rFont val="Tahoma"/>
            <family val="2"/>
          </rPr>
          <t xml:space="preserve">Emory requires its employees to avoid any business or financial relationship, transaction or event that may be viewed, internally or externally, as a conflict of interest between an employee and an outside party. As provided in the Emory By-laws, relations between Emory and contractors, consultants, vendors, suppliers and other third parties are to be maintained without any direct or indirect personal or financial benefit accruing to any employee of Emory or any member of the employee’s family.
Specific circumstances, which may constitute a conflict of interest, include, but are not limited to, the following:
Holding, either directly or indirectly, a position or financial interest* in an outside concern which provides services competitive with services rendered by Emory, or an outside concern from which Emory secures goods or services if the employee is involved in or may influence the ordering of such goods or services.
Competing, either directly or indirectly, with Emory in the purchase or sale of property or property rights, interests or services.
Disclosing or using non-public information obtained through Emory employment for personal profit or gain or for the profit or gain of an immediate family member.
Accepting gratuities or special favors, such as meals, airline tickets, hotel accommodations, entertainment, sporting event tickets, etc., from any outside concern that does, or is seeking to do business with Emory, or extending gratuities or special favors to employees of Emory, under circumstances which might reasonably be interpreted as an attempt to influence the employees in the performance of their duties. This does not include the acceptance of items of nominal or minor value ($40.00 or less) that are clearly tokens of respect or friendship and are not related to any particular transaction or activity of the university, nor does it include
business-related social events where the employee is representing the university’s interests.
Retaining, directly or indirectly, consultants who have a financial interest or employment that conflicts with services (including sponsored research) provided by Emory.
Any existing or proposed relationship, transaction or other event, which may raise a conflict of interest issue, is to be disclosed to the employee’s dean, director or vice president in writing to determine its appropriateness and to receive specific approval to maintain or proceed with such relationship, transaction or event.
</t>
        </r>
        <r>
          <rPr>
            <sz val="9"/>
            <color indexed="81"/>
            <rFont val="Tahoma"/>
            <family val="2"/>
          </rPr>
          <t xml:space="preserve">
</t>
        </r>
      </text>
    </comment>
    <comment ref="G67" authorId="0" shapeId="0">
      <text>
        <r>
          <rPr>
            <b/>
            <sz val="9"/>
            <color indexed="81"/>
            <rFont val="Tahoma"/>
            <family val="2"/>
          </rPr>
          <t xml:space="preserve">J.P. Morgan’s Single-Use Accounts (SUA) Program
This is an electronic card payment solution that enables us to make payment processes faster and more efficient. 
This is a voluntary payment solution that Emory is offering to expedite your payments.  
If you agree to participate in the program, we will convert your payment method to SUA. This means that you will get paid immediately upon invoice approval.
Emory does not charge any fee for this payment method however please check with your respective bank on the merchant exchange fee that they may charge which is generally 2.5% to 3%
The benefits to this program include: 
• Accelerated payments (i.e. payable upon invoice approval) that will help reduce days sales outstanding (DSO), improving cash flow for your Company
• Simplified process that eliminates check processing costs and helps reduce administration expense, account collections and follow-up
• Strengthens our business relationship
We are excited about the opportunity to improve processes for both of our organizations and to strengthen our business partnership. We are strongly committed to achieving 100% participation from our valued suppliers, such as you, with this program.
This is a great opportunity to partner with Emory University, JP Morgan Chase and our valued suppliers. We are enthused about this program and we hope you are too!
For additional questions, please contact J.P Morgan at 877-263-5184
</t>
        </r>
      </text>
    </comment>
    <comment ref="G82" authorId="0" shapeId="0">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sharedStrings.xml><?xml version="1.0" encoding="utf-8"?>
<sst xmlns="http://schemas.openxmlformats.org/spreadsheetml/2006/main" count="1382" uniqueCount="1063">
  <si>
    <t>Supplier Information Form (SIF) Version 2.0 Effective 5-4-2021</t>
  </si>
  <si>
    <t>Supplier/Individual/Study Participant/ACH/Wire Form</t>
  </si>
  <si>
    <r>
      <rPr>
        <b/>
        <sz val="11"/>
        <color theme="1"/>
        <rFont val="Calibri"/>
        <family val="2"/>
        <scheme val="minor"/>
      </rPr>
      <t>FORM DESCRIPTION:</t>
    </r>
    <r>
      <rPr>
        <sz val="11"/>
        <color theme="1"/>
        <rFont val="Calibri"/>
        <family val="2"/>
        <scheme val="minor"/>
      </rPr>
      <t xml:space="preserve">
This form is used to establish or update a record within the Emory University Procurement system and meets the Federal requirements to request a taxpayer identification number (TIN), request certain certifications for Federal procurement reporting and claims for exemption, and internal requirements. Do not return this form to the IRS.</t>
    </r>
  </si>
  <si>
    <t>NOTE TO SUPPLIER: Submission of this form does not authorize a supplier to provide goods or services to Emory University until the supplier is notified by Procurement.</t>
  </si>
  <si>
    <t>Preliminary Questions</t>
  </si>
  <si>
    <t>Select if you are a Company, Individual, or Study Participant:</t>
  </si>
  <si>
    <t>Error Validation</t>
  </si>
  <si>
    <t>No</t>
  </si>
  <si>
    <t>Y</t>
  </si>
  <si>
    <t>R</t>
  </si>
  <si>
    <t>Legal name that is the beneficial owner of payment received:</t>
  </si>
  <si>
    <t>Doing Business As (DBA) Name, If Different then Legal Name:</t>
  </si>
  <si>
    <t>Contact Name:</t>
  </si>
  <si>
    <t>Contact Phone Number:</t>
  </si>
  <si>
    <t>Contact Email:</t>
  </si>
  <si>
    <t>Are you a Canadian citizen or resident for tax purposes?</t>
  </si>
  <si>
    <t>Brief Description of Services/Activities provided to Emory University:</t>
  </si>
  <si>
    <r>
      <t xml:space="preserve">Please indicate if this payment relates </t>
    </r>
    <r>
      <rPr>
        <b/>
        <u/>
        <sz val="11"/>
        <color theme="1"/>
        <rFont val="Calibri"/>
        <family val="2"/>
        <scheme val="minor"/>
      </rPr>
      <t>solely</t>
    </r>
    <r>
      <rPr>
        <b/>
        <sz val="11"/>
        <color theme="1"/>
        <rFont val="Calibri"/>
        <family val="2"/>
        <scheme val="minor"/>
      </rPr>
      <t xml:space="preserve"> to the purchase of goods, inventory, equipment, materials or supplies, and/or related shipping charges:</t>
    </r>
  </si>
  <si>
    <t>Current Address</t>
  </si>
  <si>
    <t>Address Line 1:</t>
  </si>
  <si>
    <t>Address Line 2:</t>
  </si>
  <si>
    <t>Address Line 3:</t>
  </si>
  <si>
    <t>Shipping Address</t>
  </si>
  <si>
    <t>Certifications</t>
  </si>
  <si>
    <t>Under penalties of perjury, I declare that I have examined the information on this form and to the best of my knowledge and belief is true, correct, and complete.</t>
  </si>
  <si>
    <t>Date of Signature:</t>
  </si>
  <si>
    <t>Wire Payment Authorization</t>
  </si>
  <si>
    <t>Street Address:</t>
  </si>
  <si>
    <t>City, State and Postal Code:</t>
  </si>
  <si>
    <t>Country/Territory:</t>
  </si>
  <si>
    <t>Primary Contact Phone Number:</t>
  </si>
  <si>
    <t>Primary Contact Email Address:</t>
  </si>
  <si>
    <t>Banking Information</t>
  </si>
  <si>
    <t>Bank Name:</t>
  </si>
  <si>
    <t>Bank City:</t>
  </si>
  <si>
    <t>Bank Country/Territory:</t>
  </si>
  <si>
    <t>Routing/ABA Number (Domestic):</t>
  </si>
  <si>
    <t>SWIFT, BIC, BAC Code (International):</t>
  </si>
  <si>
    <t>Name on Bank Account:</t>
  </si>
  <si>
    <t>What is the payment currency that payments should be made in? 
Please note - must match currency on invoice.</t>
  </si>
  <si>
    <t>Intermediary Banking Information</t>
  </si>
  <si>
    <t>Does your bank require an intermediary bank for processing final payment?</t>
  </si>
  <si>
    <t>Account Number (Only Applicable For Further Credit):</t>
  </si>
  <si>
    <t>We hereby authorize, with the signature below, Emory University Payment Services to deposit all payments into the above referenced account.</t>
  </si>
  <si>
    <t>Authorized Signer's Title:</t>
  </si>
  <si>
    <t>Company</t>
  </si>
  <si>
    <t>Individual</t>
  </si>
  <si>
    <t>Study Participant</t>
  </si>
  <si>
    <t>Prerequisite Questions</t>
  </si>
  <si>
    <t>Is your company the direct output of a merger, acquisition, or spinoff?</t>
  </si>
  <si>
    <t>Legal Full Name:</t>
  </si>
  <si>
    <t>DBA Name, If Different:</t>
  </si>
  <si>
    <t>DUNS Number:</t>
  </si>
  <si>
    <t>Taxpayer Identification Number (Select Type):</t>
  </si>
  <si>
    <t>Select the appropriate entity type for federal tax classification:</t>
  </si>
  <si>
    <t>Would your company identify as a small and/or diverse business?</t>
  </si>
  <si>
    <t>Legal Mailing Address</t>
  </si>
  <si>
    <t>City:</t>
  </si>
  <si>
    <t>State:</t>
  </si>
  <si>
    <t>ZIP Code:</t>
  </si>
  <si>
    <t>Phone:</t>
  </si>
  <si>
    <t>Email:</t>
  </si>
  <si>
    <t>Method to Receive Orders:</t>
  </si>
  <si>
    <t>Is the Shipping Address and contact information exactly the same as the Legal Mailing Address?</t>
  </si>
  <si>
    <t>Remit to Address (Billing Address)</t>
  </si>
  <si>
    <t>Is the Remit to Address (Billing Address) and contact information exactly the same as the Legal Mailing Address?</t>
  </si>
  <si>
    <t>Under penalties of perjury, I certify by electronically signing below.</t>
  </si>
  <si>
    <t>1. The number shown on this form is my correct taxpayer identification number (or I am waiting for a number to be issued to me).</t>
  </si>
  <si>
    <t>2. I am not subject to backup withholding because (a) I am exempt from backup withholding, or (b) I have not been notified by the Internal Revenue Service (IRS) that I am subject to backup withholding as a result of a failure to report all interest or dividends, or (c) the IRS has notified me that I am no longer subject to backup withholding.</t>
  </si>
  <si>
    <t>3. My firm is not currently debarred, suspended, or proposed for debarment by any federal entity and I agree to notify Emory University Payment Services of any change in status.</t>
  </si>
  <si>
    <t>4. My firm does not currently have any employees, vendors, or other types of contractual relationships in place with parties on the U.S. Department of Treasury Office of Foreign Assets Control Specially Designated National (SDN) List. This list can be found at the following URL: http://www.ustreas.gov/offices/enforcement/ofac/sdn/</t>
  </si>
  <si>
    <t>7. Emory offers 2 standard payment term options. The first is Net 0 which is through the SUA Program. The second is Net 30. For more information on SUA, please view the comment by hovering your mouse over this box.  Please select your preference.</t>
  </si>
  <si>
    <r>
      <t xml:space="preserve">9. Emory highly encourages that your company be registered with The System for Award Management (SAM) because not doing so can preclude you as a supplier for contracts that Emory has with the U.S. government. For additional information and to register, please visit </t>
    </r>
    <r>
      <rPr>
        <b/>
        <u/>
        <sz val="11"/>
        <color theme="1"/>
        <rFont val="Calibri"/>
        <family val="2"/>
        <scheme val="minor"/>
      </rPr>
      <t>https://www.sam.gov</t>
    </r>
    <r>
      <rPr>
        <b/>
        <sz val="11"/>
        <color theme="1"/>
        <rFont val="Calibri"/>
        <family val="2"/>
        <scheme val="minor"/>
      </rPr>
      <t>/</t>
    </r>
  </si>
  <si>
    <t>l declare under penalty of perjury (under the laws of the United States of America) that the information provided on this form is true and correct.</t>
  </si>
  <si>
    <t>ACH Payment Authorization</t>
  </si>
  <si>
    <t>ZIP:</t>
  </si>
  <si>
    <t>Name of Receiving Bank:</t>
  </si>
  <si>
    <t>Routing Number:</t>
  </si>
  <si>
    <t>Account Number:</t>
  </si>
  <si>
    <t>Authorized Signer's Phone Number:</t>
  </si>
  <si>
    <t>Yes</t>
  </si>
  <si>
    <t>State</t>
  </si>
  <si>
    <t>Payment Terms</t>
  </si>
  <si>
    <t>Countries</t>
  </si>
  <si>
    <t>US Territory</t>
  </si>
  <si>
    <t>Countries where the use of IBAN is mandatory</t>
  </si>
  <si>
    <t>Additional Information</t>
  </si>
  <si>
    <t>Currency</t>
  </si>
  <si>
    <t>ISO</t>
  </si>
  <si>
    <t>Symbol</t>
  </si>
  <si>
    <t>Combined</t>
  </si>
  <si>
    <t>AL</t>
  </si>
  <si>
    <t>My firm agrees to Net 0 payment terms through the SUA (Single Use Credit Card) Program.</t>
  </si>
  <si>
    <t>Afghanistan</t>
  </si>
  <si>
    <t>Country</t>
  </si>
  <si>
    <t>IBAN length</t>
  </si>
  <si>
    <t>IBAN examples</t>
  </si>
  <si>
    <t>Australia</t>
  </si>
  <si>
    <t>AUD</t>
  </si>
  <si>
    <t>6-digit BSB (Bank/State/Branch) routing code required</t>
  </si>
  <si>
    <t>United States Dollar</t>
  </si>
  <si>
    <t>USD</t>
  </si>
  <si>
    <t>$</t>
  </si>
  <si>
    <t>USD - United States Dollar ($)</t>
  </si>
  <si>
    <t>AK</t>
  </si>
  <si>
    <t>My firm is already enrolled in the SUA (Single Use Credit Card) Program.</t>
  </si>
  <si>
    <t>Albania</t>
  </si>
  <si>
    <t>AL47212110090000000235698741</t>
  </si>
  <si>
    <t>IBAN Length Must be 28 Characters.
An IBAN example is AL47212110090000000235698741</t>
  </si>
  <si>
    <t>Brazil</t>
  </si>
  <si>
    <t>BRL</t>
  </si>
  <si>
    <t>Agencia number (Bank Branch Number) 3-7 digits
14-Digit CJNP (Tax Payer ID) for corporations or 9-Digit CPF for individuals
Beneficiary name, telephone (+ Country Code), full address and email</t>
  </si>
  <si>
    <t>UAE Dirham</t>
  </si>
  <si>
    <t>AED</t>
  </si>
  <si>
    <t>د.إ</t>
  </si>
  <si>
    <t>AED - UAE Dirham (د.إ)</t>
  </si>
  <si>
    <t>AZ</t>
  </si>
  <si>
    <t>My firm agrees to Net 30 payment terms.</t>
  </si>
  <si>
    <t>Algeria</t>
  </si>
  <si>
    <t>Andorra</t>
  </si>
  <si>
    <t>AD1200012030200359100100</t>
  </si>
  <si>
    <t>United Kingdom</t>
  </si>
  <si>
    <t>GBP</t>
  </si>
  <si>
    <t>Account number + sort code (6 digits) or IBAN can be used within the U.K.</t>
  </si>
  <si>
    <t>Albanian Lek</t>
  </si>
  <si>
    <t>ALL</t>
  </si>
  <si>
    <t>L</t>
  </si>
  <si>
    <t>ALL - Albanian Lek (L)</t>
  </si>
  <si>
    <t>AR</t>
  </si>
  <si>
    <t>My firm has a contract with Emory stating the payment terms.</t>
  </si>
  <si>
    <t>American Samoa</t>
  </si>
  <si>
    <t>Austria</t>
  </si>
  <si>
    <t>AT611904300234573201</t>
  </si>
  <si>
    <t>IBAN Length Must be 20 Characters.
An IBAN example is AT611904300234573201</t>
  </si>
  <si>
    <t>Canada</t>
  </si>
  <si>
    <t xml:space="preserve">CAD </t>
  </si>
  <si>
    <t>Include 9-digit Canadian transit number</t>
  </si>
  <si>
    <t>Neth Antilles Guilder</t>
  </si>
  <si>
    <t>ANG</t>
  </si>
  <si>
    <t>NAƒ</t>
  </si>
  <si>
    <t>ANG - Neth Antilles Guilder (NAƒ)</t>
  </si>
  <si>
    <t>CA</t>
  </si>
  <si>
    <t>Azerbaijan</t>
  </si>
  <si>
    <t>AZ21NABZ00000000137010001944</t>
  </si>
  <si>
    <t>IBAN Length Must be 28 Characters.
An IBAN example is AZ21NABZ00000000137010001944</t>
  </si>
  <si>
    <t>Guatemala</t>
  </si>
  <si>
    <t>GTQ</t>
  </si>
  <si>
    <t>Payment to Individuals are not permitted</t>
  </si>
  <si>
    <t>Argentine Peso</t>
  </si>
  <si>
    <t>ARS</t>
  </si>
  <si>
    <t>ARS - Argentine Peso ($)</t>
  </si>
  <si>
    <t>CO</t>
  </si>
  <si>
    <t>Angola</t>
  </si>
  <si>
    <t>Bahrain</t>
  </si>
  <si>
    <t>BH67BMAG00001299123456</t>
  </si>
  <si>
    <t>IBAN Length Must be 22 Characters.
An IBAN example is BH67BMAG00001299123456</t>
  </si>
  <si>
    <t>India</t>
  </si>
  <si>
    <t>INR</t>
  </si>
  <si>
    <t>Provide an Indian Financial Systems Code (IFSC Code - 11 Characters)
Provide a Foreign Inward Remittance Certificate (FIRC) if required by Beneficiary Bank</t>
  </si>
  <si>
    <t>Australian Dollar</t>
  </si>
  <si>
    <t>AUD - Australian Dollar ($)</t>
  </si>
  <si>
    <t>CT</t>
  </si>
  <si>
    <t>Anguilla</t>
  </si>
  <si>
    <t>Belarus</t>
  </si>
  <si>
    <t>BY13NBRB3600900000002Z00AB00</t>
  </si>
  <si>
    <t>IBAN Length Must be 28 Characters.
An IBAN example is BY13NBRB3600900000002Z00AB00</t>
  </si>
  <si>
    <t>Israel</t>
  </si>
  <si>
    <t>ILS</t>
  </si>
  <si>
    <t>Bank number and branch number also required
Swift option A (BIC) must be used in all relevant fields to avoid processing delays</t>
  </si>
  <si>
    <t>Aruba Florin</t>
  </si>
  <si>
    <t>AWG</t>
  </si>
  <si>
    <t>ƒ</t>
  </si>
  <si>
    <t>AWG - Aruba Florin (ƒ)</t>
  </si>
  <si>
    <t>DC</t>
  </si>
  <si>
    <t>Antarctica</t>
  </si>
  <si>
    <t>Belgium</t>
  </si>
  <si>
    <t>BE68539007547034</t>
  </si>
  <si>
    <t>IBAN Length Must be 16 Characters.
An IBAN example is BE68539007547034</t>
  </si>
  <si>
    <t>Palestinian Territory</t>
  </si>
  <si>
    <t>Details of correspondent bank if in Palestine
Bank number and branch number also required
Swift option A (BIC) must be used in all relevant fields to avoid processing delays</t>
  </si>
  <si>
    <t>Barbados Dollar</t>
  </si>
  <si>
    <t>BBD</t>
  </si>
  <si>
    <t>BBD - Barbados Dollar (BBD)</t>
  </si>
  <si>
    <t>DE</t>
  </si>
  <si>
    <t>Antigua and Barbuda</t>
  </si>
  <si>
    <t>Bosnia-Hercegovina</t>
  </si>
  <si>
    <t>BA391290079401028494</t>
  </si>
  <si>
    <t>IBAN Length Must be 20 Characters.
An IBAN example is BA391290079401028494</t>
  </si>
  <si>
    <t>Kenya</t>
  </si>
  <si>
    <t>KES</t>
  </si>
  <si>
    <t>Beneficiary bank branch code and name
Beneficiary name, telephone (+ Country Code) and full address</t>
  </si>
  <si>
    <t>Bangladesh Taka</t>
  </si>
  <si>
    <t>BDT</t>
  </si>
  <si>
    <t>Tk</t>
  </si>
  <si>
    <t>BDT - Bangladesh Taka (Tk)</t>
  </si>
  <si>
    <t>FL</t>
  </si>
  <si>
    <t>Argentina</t>
  </si>
  <si>
    <t>BR9700360305000010009795493P1</t>
  </si>
  <si>
    <t>IBAN Length Must be 29 Characters.
An IBAN example is BR9700360305000010009795493P1</t>
  </si>
  <si>
    <t>South Korea</t>
  </si>
  <si>
    <t>KRW</t>
  </si>
  <si>
    <t>Include Govt national ID, tax ID/business registration or residence permit number</t>
  </si>
  <si>
    <t>Bulgarian Lev</t>
  </si>
  <si>
    <t>BGN</t>
  </si>
  <si>
    <t>лв</t>
  </si>
  <si>
    <t>BGN - Bulgarian Lev (лв)</t>
  </si>
  <si>
    <t>GA</t>
  </si>
  <si>
    <t>Armenia</t>
  </si>
  <si>
    <t>Bulgaria</t>
  </si>
  <si>
    <t>BG80BNBG96611020345678</t>
  </si>
  <si>
    <t>IBAN Length Must be 22 Characters.
An IBAN example is BG80BNBG96611020345678</t>
  </si>
  <si>
    <t>Mexico</t>
  </si>
  <si>
    <t>MXN</t>
  </si>
  <si>
    <t>The 18- Digit CLABE account number for credit to all depository accounts in Mexico</t>
  </si>
  <si>
    <t>Bahraini Dinar</t>
  </si>
  <si>
    <t>BHD</t>
  </si>
  <si>
    <t>.د.ب</t>
  </si>
  <si>
    <t>BHD - Bahraini Dinar (.د.ب)</t>
  </si>
  <si>
    <t>HI</t>
  </si>
  <si>
    <t>Aruba</t>
  </si>
  <si>
    <t>Costa Rica</t>
  </si>
  <si>
    <t>CR051202001026284066</t>
  </si>
  <si>
    <t>IBAN Length Must be 21 Characters.
An IBAN example is CR051202001026284066</t>
  </si>
  <si>
    <t>South Africa</t>
  </si>
  <si>
    <t>ZAR</t>
  </si>
  <si>
    <t>Need 6-Digit transit number or BIC and beneficiary address
Need beneficiary contact details (telephone and email address)</t>
  </si>
  <si>
    <t>Burundi Franc</t>
  </si>
  <si>
    <t>BIF</t>
  </si>
  <si>
    <t>FBu</t>
  </si>
  <si>
    <t>BIF - Burundi Franc (FBu)</t>
  </si>
  <si>
    <t>ID</t>
  </si>
  <si>
    <t>Croatia</t>
  </si>
  <si>
    <t>HR1210010051863000160</t>
  </si>
  <si>
    <t>IBAN Length Must be 21 Characters.
An IBAN example is HR1210010051863000160</t>
  </si>
  <si>
    <t>Taiwan</t>
  </si>
  <si>
    <t>TWD</t>
  </si>
  <si>
    <t>Beneficiary name, telephone (+ Country Code) and full address</t>
  </si>
  <si>
    <t>Bermuda Dollar</t>
  </si>
  <si>
    <t>BMD</t>
  </si>
  <si>
    <t>BD$</t>
  </si>
  <si>
    <t>BMD - Bermuda Dollar (BD$)</t>
  </si>
  <si>
    <t>IL</t>
  </si>
  <si>
    <t>Cyprus</t>
  </si>
  <si>
    <t>CY17002001280000001200527600</t>
  </si>
  <si>
    <t>IBAN Length Must be 28 Characters.
An IBAN example is CY17002001280000001200527600</t>
  </si>
  <si>
    <t>Thailand</t>
  </si>
  <si>
    <t>THB</t>
  </si>
  <si>
    <t>Beneficiary name, address, tax ID and telephone number (+ Country Code)</t>
  </si>
  <si>
    <t>Brunei Dollar</t>
  </si>
  <si>
    <t>BND</t>
  </si>
  <si>
    <t>B$</t>
  </si>
  <si>
    <t>BND - Brunei Dollar (B$)</t>
  </si>
  <si>
    <t>IN</t>
  </si>
  <si>
    <t>Czech Republic</t>
  </si>
  <si>
    <t>CZ6508000000192000145399</t>
  </si>
  <si>
    <t>IBAN Length Must be 24 Characters.
An IBAN example is CZ6508000000192000145399</t>
  </si>
  <si>
    <t>Zimbabwe</t>
  </si>
  <si>
    <t>ZMW</t>
  </si>
  <si>
    <t>Branch code required (bank code, area code and bank branch code)
Full beneficiary address recommended</t>
  </si>
  <si>
    <t>Bolivian Boliviano</t>
  </si>
  <si>
    <t>BOB</t>
  </si>
  <si>
    <t>Bs</t>
  </si>
  <si>
    <t>BOB - Bolivian Boliviano (Bs)</t>
  </si>
  <si>
    <t>IA</t>
  </si>
  <si>
    <t>Bahamas</t>
  </si>
  <si>
    <t>Denmark</t>
  </si>
  <si>
    <t>DK5000400440116243</t>
  </si>
  <si>
    <t>IBAN Length Must be 18 Characters.
An IBAN example is DK5000400440116243</t>
  </si>
  <si>
    <t>Brazilian Real</t>
  </si>
  <si>
    <t>R$</t>
  </si>
  <si>
    <t>BRL - Brazilian Real (R$)</t>
  </si>
  <si>
    <t>KS</t>
  </si>
  <si>
    <t>Dominican Republic</t>
  </si>
  <si>
    <t>DO28BAGR00000001212453611324</t>
  </si>
  <si>
    <t>IBAN Length Must be 28 Characters.
An IBAN example is DO28BAGR00000001212453611324</t>
  </si>
  <si>
    <t>Bahamian Dollar</t>
  </si>
  <si>
    <t>BSD</t>
  </si>
  <si>
    <t>BSD - Bahamian Dollar (B$)</t>
  </si>
  <si>
    <t>KY</t>
  </si>
  <si>
    <t>Bangladesh</t>
  </si>
  <si>
    <t>Estonia</t>
  </si>
  <si>
    <t>EE382200221020145685</t>
  </si>
  <si>
    <t>IBAN Length Must be 20 Characters.
An IBAN example is EE382200221020145685</t>
  </si>
  <si>
    <t>Bhutan Ngultrum</t>
  </si>
  <si>
    <t>BTN</t>
  </si>
  <si>
    <t>Nu.</t>
  </si>
  <si>
    <t>BTN - Bhutan Ngultrum (Nu.)</t>
  </si>
  <si>
    <t>LA</t>
  </si>
  <si>
    <t>Barbados</t>
  </si>
  <si>
    <t>Faroe Islands</t>
  </si>
  <si>
    <t>FO6264600001631634</t>
  </si>
  <si>
    <t>IBAN Length Must be 18 Characters.
An IBAN example is FO6264600001631634</t>
  </si>
  <si>
    <t>Botswana Pula</t>
  </si>
  <si>
    <t>BWP</t>
  </si>
  <si>
    <t>P</t>
  </si>
  <si>
    <t>BWP - Botswana Pula (P)</t>
  </si>
  <si>
    <t>ME</t>
  </si>
  <si>
    <t>Finland</t>
  </si>
  <si>
    <t>FI2112345600000785</t>
  </si>
  <si>
    <t>IBAN Length Must be 18 Characters.
An IBAN example is FI2112345600000785</t>
  </si>
  <si>
    <t>Belarus Ruble</t>
  </si>
  <si>
    <t>BYR</t>
  </si>
  <si>
    <t>Br</t>
  </si>
  <si>
    <t>BYR - Belarus Ruble (Br)</t>
  </si>
  <si>
    <t>MD</t>
  </si>
  <si>
    <t>France</t>
  </si>
  <si>
    <t>FR1420041010050500013M02606</t>
  </si>
  <si>
    <t>IBAN Length Must be 27 Characters.
An IBAN example is FR1420041010050500013M02606</t>
  </si>
  <si>
    <t>Belize Dollar</t>
  </si>
  <si>
    <t>BZD</t>
  </si>
  <si>
    <t>BZ$</t>
  </si>
  <si>
    <t>BZD - Belize Dollar (BZ$)</t>
  </si>
  <si>
    <t>MA</t>
  </si>
  <si>
    <t>Belize</t>
  </si>
  <si>
    <t>Georgia</t>
  </si>
  <si>
    <t>GE29NB0000000101904917</t>
  </si>
  <si>
    <t>IBAN Length Must be 22 Characters.
An IBAN example is GE29NB0000000101904917</t>
  </si>
  <si>
    <t>Canadian Dollar</t>
  </si>
  <si>
    <t>CAD</t>
  </si>
  <si>
    <t>C$</t>
  </si>
  <si>
    <t>CAD - Canadian Dollar (C$)</t>
  </si>
  <si>
    <t>MI</t>
  </si>
  <si>
    <t>Benin</t>
  </si>
  <si>
    <t>Germany</t>
  </si>
  <si>
    <t>DE89370400440532013000</t>
  </si>
  <si>
    <t>IBAN Length Must be 22 Characters.
An IBAN example is DE89370400440532013000</t>
  </si>
  <si>
    <t>Swiss Franc</t>
  </si>
  <si>
    <t>CHF</t>
  </si>
  <si>
    <t>CHF - Swiss Franc (CHF)</t>
  </si>
  <si>
    <t>MN</t>
  </si>
  <si>
    <t>Bermuda</t>
  </si>
  <si>
    <t>Gibraltar</t>
  </si>
  <si>
    <t>GI75NWBK000000007099453</t>
  </si>
  <si>
    <t>IBAN Length Must be 23 Characters.
An IBAN example is GI75NWBK000000007099453</t>
  </si>
  <si>
    <t>Chilean Peso</t>
  </si>
  <si>
    <t>CLP</t>
  </si>
  <si>
    <t>CLP - Chilean Peso ($)</t>
  </si>
  <si>
    <t>MS</t>
  </si>
  <si>
    <t>Bhutan</t>
  </si>
  <si>
    <t>Greece</t>
  </si>
  <si>
    <t>GR16 01101250000000012300695</t>
  </si>
  <si>
    <t>IBAN Length Must be 27 Characters.
An IBAN example is GR16 01101250000000012300695</t>
  </si>
  <si>
    <t>Chinese Yuan</t>
  </si>
  <si>
    <t>CNY</t>
  </si>
  <si>
    <t>¥</t>
  </si>
  <si>
    <t>CNY - Chinese Yuan (¥)</t>
  </si>
  <si>
    <t>MO</t>
  </si>
  <si>
    <t>Bolivia</t>
  </si>
  <si>
    <t>Greenland</t>
  </si>
  <si>
    <t>GL8964710001000206</t>
  </si>
  <si>
    <t>IBAN Length Must be 18 Characters.
An IBAN example is GL8964710001000206</t>
  </si>
  <si>
    <t>Colombian Peso</t>
  </si>
  <si>
    <t>COP</t>
  </si>
  <si>
    <t>COP - Colombian Peso ($)</t>
  </si>
  <si>
    <t>MT</t>
  </si>
  <si>
    <t>GT82TRAJ01020000001210029690</t>
  </si>
  <si>
    <t>IBAN Length Must be 28 Characters.
An IBAN example is GT82TRAJ01020000001210029690</t>
  </si>
  <si>
    <t>Costa Rica Colon</t>
  </si>
  <si>
    <t>CRC</t>
  </si>
  <si>
    <t>₡</t>
  </si>
  <si>
    <t>CRC - Costa Rica Colon (₡)</t>
  </si>
  <si>
    <t>NE</t>
  </si>
  <si>
    <t>Botswana</t>
  </si>
  <si>
    <t>Guernsey</t>
  </si>
  <si>
    <t>GB57NWBK55504453178386</t>
  </si>
  <si>
    <t>IBAN Length Must be 22 Characters.
An IBAN example is GB57NWBK55504453178386</t>
  </si>
  <si>
    <t>Cuban Peso</t>
  </si>
  <si>
    <t>CUP</t>
  </si>
  <si>
    <t>$MN</t>
  </si>
  <si>
    <t>CUP - Cuban Peso ($MN)</t>
  </si>
  <si>
    <t>NV</t>
  </si>
  <si>
    <t>Bouvet Island</t>
  </si>
  <si>
    <t>Holy See (Vatican City)</t>
  </si>
  <si>
    <t>VA59001123000012345678</t>
  </si>
  <si>
    <t>IBAN Length Must be 22 Characters.
An IBAN example is VA59001123000012345678</t>
  </si>
  <si>
    <t>Cape Verde Escudo</t>
  </si>
  <si>
    <t>CVE</t>
  </si>
  <si>
    <t>Esc</t>
  </si>
  <si>
    <t>CVE - Cape Verde Escudo (Esc)</t>
  </si>
  <si>
    <t>NH</t>
  </si>
  <si>
    <t>Hungary</t>
  </si>
  <si>
    <t>HU42117730161111101800000000</t>
  </si>
  <si>
    <t>IBAN Length Must be 28 Characters.
An IBAN example is HU42117730161111101800000000</t>
  </si>
  <si>
    <t>Czech Koruna</t>
  </si>
  <si>
    <t>CZK</t>
  </si>
  <si>
    <t>Kč</t>
  </si>
  <si>
    <t>CZK - Czech Koruna (Kč)</t>
  </si>
  <si>
    <t>NJ</t>
  </si>
  <si>
    <t>British Indian Ocean Territory</t>
  </si>
  <si>
    <t>Iceland</t>
  </si>
  <si>
    <t>IS140159260076545510730339</t>
  </si>
  <si>
    <t>IBAN Length Must be 26 Characters.
An IBAN example is IS140159260076545510730339</t>
  </si>
  <si>
    <t>Djibouti Franc</t>
  </si>
  <si>
    <t>DJF</t>
  </si>
  <si>
    <t>Fdj</t>
  </si>
  <si>
    <t>DJF - Djibouti Franc (Fdj)</t>
  </si>
  <si>
    <t>NM</t>
  </si>
  <si>
    <t>British Virgin Islands</t>
  </si>
  <si>
    <t>Iran</t>
  </si>
  <si>
    <t>IR580540105180021273113007</t>
  </si>
  <si>
    <t>IBAN Length Must be 26 Characters.
An IBAN example is IR580540105180021273113007</t>
  </si>
  <si>
    <t>Danish Krone</t>
  </si>
  <si>
    <t>DKK</t>
  </si>
  <si>
    <t>kr</t>
  </si>
  <si>
    <t>DKK - Danish Krone (kr)</t>
  </si>
  <si>
    <t>NY</t>
  </si>
  <si>
    <t>Brunei</t>
  </si>
  <si>
    <t>Iraq</t>
  </si>
  <si>
    <t>IQ98NBIQ657453423456748</t>
  </si>
  <si>
    <t>IBAN Length Must be 23 Characters.
An IBAN example is IQ98NBIQ657453423456748</t>
  </si>
  <si>
    <t>Dominican Peso</t>
  </si>
  <si>
    <t>DOP</t>
  </si>
  <si>
    <t>RD$</t>
  </si>
  <si>
    <t>DOP - Dominican Peso (RD$)</t>
  </si>
  <si>
    <t>NC</t>
  </si>
  <si>
    <t>Ireland</t>
  </si>
  <si>
    <t>IE29AIBK93115212345678</t>
  </si>
  <si>
    <t>IBAN Length Must be 22 Characters.
An IBAN example is IE29AIBK93115212345678</t>
  </si>
  <si>
    <t>Algerian Dinar</t>
  </si>
  <si>
    <t>DZD</t>
  </si>
  <si>
    <t>دج</t>
  </si>
  <si>
    <t>DZD - Algerian Dinar (دج)</t>
  </si>
  <si>
    <t>ND</t>
  </si>
  <si>
    <t>Burkina Faso</t>
  </si>
  <si>
    <t>Isle of Man</t>
  </si>
  <si>
    <t>IBAN Length Must be 22 Characters.
An IBAN example is GB57NWBK55504453178386
An IBAN example is IM07MIDL40193872448696</t>
  </si>
  <si>
    <t>Estonian Kroon</t>
  </si>
  <si>
    <t>EEK</t>
  </si>
  <si>
    <t>EEK - Estonian Kroon (EEK)</t>
  </si>
  <si>
    <t>OH</t>
  </si>
  <si>
    <t>Burma</t>
  </si>
  <si>
    <t>IL620108000000099999999</t>
  </si>
  <si>
    <t>IBAN Length Must be 23 Characters.
An IBAN example is IL620108000000099999999</t>
  </si>
  <si>
    <t>Egyptian Pound</t>
  </si>
  <si>
    <t>EGP</t>
  </si>
  <si>
    <t>ج.م</t>
  </si>
  <si>
    <t>EGP - Egyptian Pound (ج.م)</t>
  </si>
  <si>
    <t>OK</t>
  </si>
  <si>
    <t>Burundi</t>
  </si>
  <si>
    <t>Italy</t>
  </si>
  <si>
    <t>IT60X0542811101000000123456</t>
  </si>
  <si>
    <t>IBAN Length Must be 27 Characters.
An IBAN example is IT60X0542811101000000123456</t>
  </si>
  <si>
    <t>Ethiopian Birr</t>
  </si>
  <si>
    <t>ETB</t>
  </si>
  <si>
    <t>ETB - Ethiopian Birr (Br)</t>
  </si>
  <si>
    <t>OR</t>
  </si>
  <si>
    <t>Cambodia</t>
  </si>
  <si>
    <t>Jersey</t>
  </si>
  <si>
    <t>IBAN Length Must be 22 Characters.
An IBAN example is GB57NWBK55504453178386
An IBAN example is JE68ABNA0350917C000978</t>
  </si>
  <si>
    <t>Euro</t>
  </si>
  <si>
    <t>EUR</t>
  </si>
  <si>
    <t>€</t>
  </si>
  <si>
    <t>EUR - Euro (€)</t>
  </si>
  <si>
    <t>PA</t>
  </si>
  <si>
    <t>Cameroon</t>
  </si>
  <si>
    <t>Jordan</t>
  </si>
  <si>
    <t>JO99HBHA4543333578295175367253</t>
  </si>
  <si>
    <t>IBAN Length Must be 30 Characters.
An IBAN example is JO99HBHA4543333578295175367253</t>
  </si>
  <si>
    <t>Fiji Dollar</t>
  </si>
  <si>
    <t>FJD</t>
  </si>
  <si>
    <t>FJ$</t>
  </si>
  <si>
    <t>FJD - Fiji Dollar (FJ$)</t>
  </si>
  <si>
    <t>PR</t>
  </si>
  <si>
    <t>Kazakhstan</t>
  </si>
  <si>
    <t>KZ5590238934023248812</t>
  </si>
  <si>
    <t>IBAN Length Must be 20 Characters.
An IBAN example is KZ5590238934023248812</t>
  </si>
  <si>
    <t>Falkland Islands Pound</t>
  </si>
  <si>
    <t>FKP</t>
  </si>
  <si>
    <t>£</t>
  </si>
  <si>
    <t>FKP - Falkland Islands Pound (£)</t>
  </si>
  <si>
    <t>RI</t>
  </si>
  <si>
    <t>Cape Verde</t>
  </si>
  <si>
    <t>KZ86125KZT5004100100</t>
  </si>
  <si>
    <t>IBAN Length Must be 20 Characters.
An IBAN example is KZ86125KZT5004100100</t>
  </si>
  <si>
    <t>British Pound</t>
  </si>
  <si>
    <t>GBP - British Pound (£)</t>
  </si>
  <si>
    <t>SC</t>
  </si>
  <si>
    <t>Cayman Islands</t>
  </si>
  <si>
    <t>Kosovo</t>
  </si>
  <si>
    <t>XK051212012345678906</t>
  </si>
  <si>
    <t>IBAN Length Must be 20 Characters.
An IBAN example is XK051212012345678906</t>
  </si>
  <si>
    <t>Ghanaian Cedi</t>
  </si>
  <si>
    <t>GHS</t>
  </si>
  <si>
    <t>GHS - Ghanaian Cedi (GHS)</t>
  </si>
  <si>
    <t>SD</t>
  </si>
  <si>
    <t>Central African Republic</t>
  </si>
  <si>
    <t>Kuwait</t>
  </si>
  <si>
    <t>KW81CBKU0000000000001234560101</t>
  </si>
  <si>
    <t>IBAN Length Must be 30 Characters.
An IBAN example is KW81CBKU0000000000001234560101</t>
  </si>
  <si>
    <t>Gambian Dalasi</t>
  </si>
  <si>
    <t>GMD</t>
  </si>
  <si>
    <t>D</t>
  </si>
  <si>
    <t>GMD - Gambian Dalasi (D)</t>
  </si>
  <si>
    <t>TN</t>
  </si>
  <si>
    <t>Chad</t>
  </si>
  <si>
    <t>Guinea Franc</t>
  </si>
  <si>
    <t>GNF</t>
  </si>
  <si>
    <t>FG</t>
  </si>
  <si>
    <t>GNF - Guinea Franc (FG)</t>
  </si>
  <si>
    <t>TX</t>
  </si>
  <si>
    <t>Chile</t>
  </si>
  <si>
    <t>Latvia</t>
  </si>
  <si>
    <t>LV80BANK0000435195001</t>
  </si>
  <si>
    <t>IBAN Length Must be 21 Characters.
An IBAN example is LV80BANK0000435195001</t>
  </si>
  <si>
    <t>Guatemala Quetzal</t>
  </si>
  <si>
    <t>Q</t>
  </si>
  <si>
    <t>GTQ - Guatemala Quetzal (Q)</t>
  </si>
  <si>
    <t>UT</t>
  </si>
  <si>
    <t>China</t>
  </si>
  <si>
    <t>Lebanon</t>
  </si>
  <si>
    <t>LB62099900000001001901229114</t>
  </si>
  <si>
    <t>IBAN Length Must be 28 Characters.
An IBAN example is LB62099900000001001901229114</t>
  </si>
  <si>
    <t>Guyana Dollar</t>
  </si>
  <si>
    <t>GYD</t>
  </si>
  <si>
    <t>GY$</t>
  </si>
  <si>
    <t>GYD - Guyana Dollar (GY$)</t>
  </si>
  <si>
    <t>VT</t>
  </si>
  <si>
    <t>Christmas Island</t>
  </si>
  <si>
    <t>Liechtenstein</t>
  </si>
  <si>
    <t>LI21088100002324013A A</t>
  </si>
  <si>
    <t>IBAN Length Must be 21 Characters.
An IBAN example is LI21088100002324013A A</t>
  </si>
  <si>
    <t>Hong Kong Dollar</t>
  </si>
  <si>
    <t>HKD</t>
  </si>
  <si>
    <t>HK$</t>
  </si>
  <si>
    <t>HKD - Hong Kong Dollar (HK$)</t>
  </si>
  <si>
    <t>VA</t>
  </si>
  <si>
    <t>Cocos (Keeling) Islands</t>
  </si>
  <si>
    <t>Lithuania</t>
  </si>
  <si>
    <t>LT121000011101001000</t>
  </si>
  <si>
    <t>IBAN Length Must be 20 Characters.
An IBAN example is LT121000011101001000</t>
  </si>
  <si>
    <t>Honduras Lempira</t>
  </si>
  <si>
    <t>HNL</t>
  </si>
  <si>
    <t>HNL - Honduras Lempira (L)</t>
  </si>
  <si>
    <t>WA</t>
  </si>
  <si>
    <t>Colombia</t>
  </si>
  <si>
    <t>Luxembourg</t>
  </si>
  <si>
    <t>LU280019400644750000</t>
  </si>
  <si>
    <t>IBAN Length Must be 20 Characters.
An IBAN example is LU280019400644750000</t>
  </si>
  <si>
    <t>Croatian Kuna</t>
  </si>
  <si>
    <t>HRK</t>
  </si>
  <si>
    <t>kn</t>
  </si>
  <si>
    <t>HRK - Croatian Kuna (kn)</t>
  </si>
  <si>
    <t>WV</t>
  </si>
  <si>
    <t>Comoros</t>
  </si>
  <si>
    <t>Macedonia</t>
  </si>
  <si>
    <t>MK07250120000058984</t>
  </si>
  <si>
    <t>IBAN Length Must be 19 Characters.
An IBAN example is MK07250120000058984</t>
  </si>
  <si>
    <t>Haiti Gourde</t>
  </si>
  <si>
    <t>HTG</t>
  </si>
  <si>
    <t>HTG - Haiti Gourde ()</t>
  </si>
  <si>
    <t>WI</t>
  </si>
  <si>
    <t>Congo</t>
  </si>
  <si>
    <t>Malta</t>
  </si>
  <si>
    <t>MT84MALT011000012345MTLCAST001S</t>
  </si>
  <si>
    <t>IBAN Length Must be 31 Characters.
An IBAN example is MT84MALT011000012345MTLCAST001S</t>
  </si>
  <si>
    <t>Hungarian Forint</t>
  </si>
  <si>
    <t>HUF</t>
  </si>
  <si>
    <t>Ft</t>
  </si>
  <si>
    <t>HUF - Hungarian Forint (Ft)</t>
  </si>
  <si>
    <t>WY</t>
  </si>
  <si>
    <t>Cook Islands</t>
  </si>
  <si>
    <t>Mauritania</t>
  </si>
  <si>
    <t>MR1300020001010000123456753</t>
  </si>
  <si>
    <t>IBAN Length Must be 27 Characters.
An IBAN example is MR1300020001010000123456753</t>
  </si>
  <si>
    <t>Indonesian Rupiah</t>
  </si>
  <si>
    <t>IDR</t>
  </si>
  <si>
    <t>Rp</t>
  </si>
  <si>
    <t>IDR - Indonesian Rupiah (Rp)</t>
  </si>
  <si>
    <t>Mauritius</t>
  </si>
  <si>
    <t>MU17BOMM0101101030300200000MUR</t>
  </si>
  <si>
    <t>IBAN Length Must be 30 Characters.
An IBAN example is MU17BOMM0101101030300200000MUR</t>
  </si>
  <si>
    <t>Israeli Shekel</t>
  </si>
  <si>
    <t>₪</t>
  </si>
  <si>
    <t>ILS - Israeli Shekel (₪)</t>
  </si>
  <si>
    <t>Cote d'Ivoire</t>
  </si>
  <si>
    <t>Moldova</t>
  </si>
  <si>
    <t>MD24AG000225100013104168</t>
  </si>
  <si>
    <t>IBAN Length Must be 24 Characters.
An IBAN example is MD24AG000225100013104168</t>
  </si>
  <si>
    <t>Indian Rupee</t>
  </si>
  <si>
    <t>Rs.</t>
  </si>
  <si>
    <t>INR - Indian Rupee (Rs.)</t>
  </si>
  <si>
    <t>Monaco</t>
  </si>
  <si>
    <t>MC5811222000010123456789030</t>
  </si>
  <si>
    <t>IBAN Length Must be 27 Characters.
An IBAN example is MC5811222000010123456789030</t>
  </si>
  <si>
    <t>Iraqi Dinar</t>
  </si>
  <si>
    <t>IQD</t>
  </si>
  <si>
    <t>ع.د</t>
  </si>
  <si>
    <t>IQD - Iraqi Dinar (ع.د)</t>
  </si>
  <si>
    <t>Cuba</t>
  </si>
  <si>
    <t>Montenegro</t>
  </si>
  <si>
    <t>ME25505000012345678951</t>
  </si>
  <si>
    <t>IBAN Length Must be 22 Characters.
An IBAN example is ME25505000012345678951</t>
  </si>
  <si>
    <t>Iran Rial</t>
  </si>
  <si>
    <t>IRR</t>
  </si>
  <si>
    <t>IRR - Iran Rial ()</t>
  </si>
  <si>
    <t>Curacao</t>
  </si>
  <si>
    <t>Netherlands</t>
  </si>
  <si>
    <t>NL91ABNA0417164300</t>
  </si>
  <si>
    <t>IBAN Length Must be 18 Characters.
An IBAN example is NL91ABNA0417164300</t>
  </si>
  <si>
    <t>Iceland Krona</t>
  </si>
  <si>
    <t>ISK</t>
  </si>
  <si>
    <t>ISK - Iceland Krona (kr)</t>
  </si>
  <si>
    <t>Norway</t>
  </si>
  <si>
    <t>NO0212345678910</t>
  </si>
  <si>
    <t>IBAN Length Must be 15 Characters.
An IBAN example is NO0212345678910</t>
  </si>
  <si>
    <t>Jordanian Dinar</t>
  </si>
  <si>
    <t>JOD</t>
  </si>
  <si>
    <t>JOD - Jordanian Dinar (JOD)</t>
  </si>
  <si>
    <t>Pakistan</t>
  </si>
  <si>
    <t>PK36SCBL0000001123456702</t>
  </si>
  <si>
    <t>IBAN Length Must be 24 Characters.
An IBAN example is PK36SCBL0000001123456702</t>
  </si>
  <si>
    <t>Japanese Yen</t>
  </si>
  <si>
    <t>JPY</t>
  </si>
  <si>
    <t>JPY - Japanese Yen (¥)</t>
  </si>
  <si>
    <t>PS92PALS000000000400123456702</t>
  </si>
  <si>
    <t>IBAN Length Must be 29 Characters.
An IBAN example is PS92PALS000000000400123456702</t>
  </si>
  <si>
    <t>Kenyan Shilling</t>
  </si>
  <si>
    <t>KSh</t>
  </si>
  <si>
    <t>KES - Kenyan Shilling (KSh)</t>
  </si>
  <si>
    <t>Djibouti</t>
  </si>
  <si>
    <t>Poland</t>
  </si>
  <si>
    <t>PL61109010140000071219812874</t>
  </si>
  <si>
    <t>IBAN Length Must be 28 Characters.
An IBAN example is PL61109010140000071219812874</t>
  </si>
  <si>
    <t>Kyrgyzstan Som</t>
  </si>
  <si>
    <t>KGS</t>
  </si>
  <si>
    <t>KGS - Kyrgyzstan Som (KGS)</t>
  </si>
  <si>
    <t>Dominica</t>
  </si>
  <si>
    <t>Portugal</t>
  </si>
  <si>
    <t>PT50000201231234567890154</t>
  </si>
  <si>
    <t>IBAN Length Must be 25 Characters.
An IBAN example is PT50000201231234567890154</t>
  </si>
  <si>
    <t>Cambodia Riel</t>
  </si>
  <si>
    <t>KHR</t>
  </si>
  <si>
    <t>KHR - Cambodia Riel (KHR)</t>
  </si>
  <si>
    <t>Qatar</t>
  </si>
  <si>
    <t>QA01QNBA000000001234123412341</t>
  </si>
  <si>
    <t>IBAN Length Must be 29 Characters.
An IBAN example is QA01QNBA000000001234123412341</t>
  </si>
  <si>
    <t>Comoros Franc</t>
  </si>
  <si>
    <t>KMF</t>
  </si>
  <si>
    <t>KMF - Comoros Franc (KMF)</t>
  </si>
  <si>
    <t>Ecuador</t>
  </si>
  <si>
    <t>Romania</t>
  </si>
  <si>
    <t>RO49AAAA1B31007593840000</t>
  </si>
  <si>
    <t>IBAN Length Must be 24 Characters.
An IBAN example is RO49AAAA1B31007593840000</t>
  </si>
  <si>
    <t>North Korean Won</t>
  </si>
  <si>
    <t>KPW</t>
  </si>
  <si>
    <t>₩</t>
  </si>
  <si>
    <t>KPW - North Korean Won (₩)</t>
  </si>
  <si>
    <t>Egypt</t>
  </si>
  <si>
    <t>Saint Lucia</t>
  </si>
  <si>
    <t>LC831090101400000712198128743156</t>
  </si>
  <si>
    <t>IBAN Length Must be 32 Characters.
An IBAN example is LC831090101400000712198128743156</t>
  </si>
  <si>
    <t>Korean Won</t>
  </si>
  <si>
    <t>KRW - Korean Won (₩)</t>
  </si>
  <si>
    <t>El Salvador</t>
  </si>
  <si>
    <t>San Marino</t>
  </si>
  <si>
    <t>SM86U0322509800000000270100</t>
  </si>
  <si>
    <t>IBAN Length Must be 27 Characters.
An IBAN example is SM86U0322509800000000270100</t>
  </si>
  <si>
    <t>Kuwaiti Dinar</t>
  </si>
  <si>
    <t>KWD</t>
  </si>
  <si>
    <t>د.ك</t>
  </si>
  <si>
    <t>KWD - Kuwaiti Dinar (د.ك)</t>
  </si>
  <si>
    <t>Equatorial Guinea</t>
  </si>
  <si>
    <t>Sao Tome and Principe</t>
  </si>
  <si>
    <t>ST68000100010051845310112</t>
  </si>
  <si>
    <t>IBAN Length Must be 25 Characters.
An IBAN example is ST68000100010051845310112</t>
  </si>
  <si>
    <t>Cayman Islands Dollar</t>
  </si>
  <si>
    <t>KYD</t>
  </si>
  <si>
    <t>KYD - Cayman Islands Dollar ($)</t>
  </si>
  <si>
    <t>Eritrea</t>
  </si>
  <si>
    <t>Saudi Arabia</t>
  </si>
  <si>
    <t>SA0380000000608010167519</t>
  </si>
  <si>
    <t>IBAN Length Must be 24 Characters.
An IBAN example is SA0380000000608010167519</t>
  </si>
  <si>
    <t>Kazakhstan Tenge</t>
  </si>
  <si>
    <t>KZT</t>
  </si>
  <si>
    <t>KZT - Kazakhstan Tenge (KZT)</t>
  </si>
  <si>
    <t>Serbia</t>
  </si>
  <si>
    <t>RS35260005601001611379</t>
  </si>
  <si>
    <t>IBAN Length Must be 22 Characters.
An IBAN example is RS35260005601001611379</t>
  </si>
  <si>
    <t>Sri Lanka Rupee</t>
  </si>
  <si>
    <t>LKR</t>
  </si>
  <si>
    <t>ரூ</t>
  </si>
  <si>
    <t>LKR - Sri Lanka Rupee (ரூ)</t>
  </si>
  <si>
    <t>Ethiopia</t>
  </si>
  <si>
    <t>Seychelles</t>
  </si>
  <si>
    <t>SC25SSCB11010000000000001497USD</t>
  </si>
  <si>
    <t>IBAN Length Must be 31 Characters.
An IBAN example is SC25SSCB11010000000000001497USD</t>
  </si>
  <si>
    <t>Moroccan Dirham</t>
  </si>
  <si>
    <t>MAD</t>
  </si>
  <si>
    <t>د.م.</t>
  </si>
  <si>
    <t>MAD - Moroccan Dirham (د.م.)</t>
  </si>
  <si>
    <t>Falkland Islands (Islas Malvinas)</t>
  </si>
  <si>
    <t>Slovakia</t>
  </si>
  <si>
    <t>SK3112000000198742637541</t>
  </si>
  <si>
    <t>IBAN Length Must be 24 Characters.
An IBAN example is SK3112000000198742637541</t>
  </si>
  <si>
    <t>Moldovan Leu</t>
  </si>
  <si>
    <t>MDL</t>
  </si>
  <si>
    <t>MDL - Moldovan Leu (MDL)</t>
  </si>
  <si>
    <t>Slovenia</t>
  </si>
  <si>
    <t>SI56263300012039086</t>
  </si>
  <si>
    <t>IBAN Length Must be 19 Characters.
An IBAN example is SI56263300012039086</t>
  </si>
  <si>
    <t>Macedonian Denar</t>
  </si>
  <si>
    <t>MKD</t>
  </si>
  <si>
    <t>MKD - Macedonian Denar (MKD)</t>
  </si>
  <si>
    <t>Fiji</t>
  </si>
  <si>
    <t>Spain</t>
  </si>
  <si>
    <t>ES9121000418450200051332</t>
  </si>
  <si>
    <t>IBAN Length Must be 24 Characters.
An IBAN example is ES9121000418450200051332</t>
  </si>
  <si>
    <t>Myanmar Kyat</t>
  </si>
  <si>
    <t>MMK</t>
  </si>
  <si>
    <t>K</t>
  </si>
  <si>
    <t>MMK - Myanmar Kyat (K)</t>
  </si>
  <si>
    <t>Sweden</t>
  </si>
  <si>
    <t>SE4550000000058398257466</t>
  </si>
  <si>
    <t>IBAN Length Must be 24 Characters.
An IBAN example is SE4550000000058398257466</t>
  </si>
  <si>
    <t>Mongolian Tugrik</t>
  </si>
  <si>
    <t>MNT</t>
  </si>
  <si>
    <t>₮</t>
  </si>
  <si>
    <t>MNT - Mongolian Tugrik (₮)</t>
  </si>
  <si>
    <t>Switzerland</t>
  </si>
  <si>
    <t>CH9300762011623852957</t>
  </si>
  <si>
    <t>IBAN Length Must be 21 Characters.
An IBAN example is CH9300762011623852957</t>
  </si>
  <si>
    <t>Macau Pataca</t>
  </si>
  <si>
    <t>MOP</t>
  </si>
  <si>
    <t>MOP - Macau Pataca ($)</t>
  </si>
  <si>
    <t>French Guiana</t>
  </si>
  <si>
    <t>Timor-Leste</t>
  </si>
  <si>
    <t>TL380080012345678910157</t>
  </si>
  <si>
    <t>IBAN Length Must be 23 Characters.
An IBAN example is TL380080012345678910157</t>
  </si>
  <si>
    <t>Mauritania Ougulya</t>
  </si>
  <si>
    <t>MRO</t>
  </si>
  <si>
    <t>UM</t>
  </si>
  <si>
    <t>MRO - Mauritania Ougulya (UM)</t>
  </si>
  <si>
    <t>French Polynesia</t>
  </si>
  <si>
    <t>Tunisia</t>
  </si>
  <si>
    <t>TN5910006035183598478831</t>
  </si>
  <si>
    <t>IBAN Length Must be 24 Characters.
An IBAN example is TN5910006035183598478831</t>
  </si>
  <si>
    <t>Mauritius Rupee</t>
  </si>
  <si>
    <t>MUR</t>
  </si>
  <si>
    <t>₨</t>
  </si>
  <si>
    <t>MUR - Mauritius Rupee (₨)</t>
  </si>
  <si>
    <t>French Southern and Antarctic Lands</t>
  </si>
  <si>
    <t>Turkey</t>
  </si>
  <si>
    <t>TR330006100519786457841326</t>
  </si>
  <si>
    <t>IBAN Length Must be 26 Characters.
An IBAN example is TR330006100519786457841326</t>
  </si>
  <si>
    <t>Maldives Rufiyaa</t>
  </si>
  <si>
    <t>MVR</t>
  </si>
  <si>
    <t>Rf</t>
  </si>
  <si>
    <t>MVR - Maldives Rufiyaa (Rf)</t>
  </si>
  <si>
    <t>Gabon</t>
  </si>
  <si>
    <t>Ukraine</t>
  </si>
  <si>
    <t>UA213996220000026007233566001</t>
  </si>
  <si>
    <t>IBAN Length Must be 29 Characters.
An IBAN example is UA213996220000026007233566001</t>
  </si>
  <si>
    <t>Malawi Kwacha</t>
  </si>
  <si>
    <t>MWK</t>
  </si>
  <si>
    <t>MK</t>
  </si>
  <si>
    <t>MWK - Malawi Kwacha (MK)</t>
  </si>
  <si>
    <t>Gambia</t>
  </si>
  <si>
    <t>United Arab Emirates</t>
  </si>
  <si>
    <t>AE070331234567890123456</t>
  </si>
  <si>
    <t>IBAN Length Must be 23 Characters.
An IBAN example is AE070331234567890123456</t>
  </si>
  <si>
    <t>Mexican Peso</t>
  </si>
  <si>
    <t>MXN - Mexican Peso ($)</t>
  </si>
  <si>
    <t>Gaza Strip</t>
  </si>
  <si>
    <t>GB29NWBK60161331926819</t>
  </si>
  <si>
    <t>IBAN Length Must be 22 Characters.
An IBAN example is GB29NWBK60161331926819</t>
  </si>
  <si>
    <t>Malaysian Ringgit</t>
  </si>
  <si>
    <t>MYR</t>
  </si>
  <si>
    <t>RM</t>
  </si>
  <si>
    <t>MYR - Malaysian Ringgit (RM)</t>
  </si>
  <si>
    <t>Virgin Islands</t>
  </si>
  <si>
    <t>VG96VPVG0000012345678901</t>
  </si>
  <si>
    <t>IBAN Length Must be 24 Characters.
An IBAN example is VG96VPVG0000012345678901</t>
  </si>
  <si>
    <t>Namibian Dollar</t>
  </si>
  <si>
    <t>NAD</t>
  </si>
  <si>
    <t>N$</t>
  </si>
  <si>
    <t>NAD - Namibian Dollar (N$)</t>
  </si>
  <si>
    <t>Nigerian Naira</t>
  </si>
  <si>
    <t>NGN</t>
  </si>
  <si>
    <t>₦</t>
  </si>
  <si>
    <t>NGN - Nigerian Naira (₦)</t>
  </si>
  <si>
    <t>Ghana</t>
  </si>
  <si>
    <t>Nicaragua Cordoba</t>
  </si>
  <si>
    <t>NIO</t>
  </si>
  <si>
    <t>NIO - Nicaragua Cordoba (C$)</t>
  </si>
  <si>
    <t>Norwegian Krone</t>
  </si>
  <si>
    <t>NOK</t>
  </si>
  <si>
    <t>NOK - Norwegian Krone (kr)</t>
  </si>
  <si>
    <t>Nepalese Rupee</t>
  </si>
  <si>
    <t>NPR</t>
  </si>
  <si>
    <t>NPR - Nepalese Rupee (₨)</t>
  </si>
  <si>
    <t>New Zealand Dollar</t>
  </si>
  <si>
    <t>NZD</t>
  </si>
  <si>
    <t>NZD - New Zealand Dollar ($)</t>
  </si>
  <si>
    <t>Grenada</t>
  </si>
  <si>
    <t>Omani Rial</t>
  </si>
  <si>
    <t>OMR</t>
  </si>
  <si>
    <t>ر.ع.</t>
  </si>
  <si>
    <t>OMR - Omani Rial (ر.ع.)</t>
  </si>
  <si>
    <t>Guadeloupe</t>
  </si>
  <si>
    <t>Panama Balboa</t>
  </si>
  <si>
    <t>PAB</t>
  </si>
  <si>
    <t>B</t>
  </si>
  <si>
    <t>PAB - Panama Balboa (B)</t>
  </si>
  <si>
    <t>Guam</t>
  </si>
  <si>
    <t>Peruvian Nuevo Sol</t>
  </si>
  <si>
    <t>PEN</t>
  </si>
  <si>
    <t>S/.</t>
  </si>
  <si>
    <t>PEN - Peruvian Nuevo Sol (S/.)</t>
  </si>
  <si>
    <t>Papua New Guinea Kina</t>
  </si>
  <si>
    <t>PGK</t>
  </si>
  <si>
    <t>PGK - Papua New Guinea Kina (K)</t>
  </si>
  <si>
    <t>Philippine Peso</t>
  </si>
  <si>
    <t>PHP</t>
  </si>
  <si>
    <t>₱</t>
  </si>
  <si>
    <t>PHP - Philippine Peso (₱)</t>
  </si>
  <si>
    <t>Guinea</t>
  </si>
  <si>
    <t>Pakistani Rupee</t>
  </si>
  <si>
    <t>PKR</t>
  </si>
  <si>
    <t>PKR - Pakistani Rupee (Rs.)</t>
  </si>
  <si>
    <t>Guinea-Bissau</t>
  </si>
  <si>
    <t>Polish Zloty</t>
  </si>
  <si>
    <t>PLN</t>
  </si>
  <si>
    <t>zł</t>
  </si>
  <si>
    <t>PLN - Polish Zloty (zł)</t>
  </si>
  <si>
    <t>Guyana</t>
  </si>
  <si>
    <t>Paraguayan Guarani</t>
  </si>
  <si>
    <t>PYG</t>
  </si>
  <si>
    <t>PYG - Paraguayan Guarani ()</t>
  </si>
  <si>
    <t>Haiti</t>
  </si>
  <si>
    <t>Qatar Rial</t>
  </si>
  <si>
    <t>QAR</t>
  </si>
  <si>
    <t>ر.ق</t>
  </si>
  <si>
    <t>QAR - Qatar Rial (ر.ق)</t>
  </si>
  <si>
    <t>Heard Island and McDonald Islands</t>
  </si>
  <si>
    <t>Romanian New Leu</t>
  </si>
  <si>
    <t>RON</t>
  </si>
  <si>
    <t>RON - Romanian New Leu (L)</t>
  </si>
  <si>
    <t>Russian Rouble</t>
  </si>
  <si>
    <t>RUB</t>
  </si>
  <si>
    <t>руб</t>
  </si>
  <si>
    <t>RUB - Russian Rouble (руб)</t>
  </si>
  <si>
    <t>Honduras</t>
  </si>
  <si>
    <t>Rwanda Franc</t>
  </si>
  <si>
    <t>RWF</t>
  </si>
  <si>
    <t>RF</t>
  </si>
  <si>
    <t>RWF - Rwanda Franc (RF)</t>
  </si>
  <si>
    <t>Hong Kong</t>
  </si>
  <si>
    <t>Saudi Arabian Riyal</t>
  </si>
  <si>
    <t>SAR</t>
  </si>
  <si>
    <t>ر.س</t>
  </si>
  <si>
    <t>SAR - Saudi Arabian Riyal (ر.س)</t>
  </si>
  <si>
    <t>Solomon Islands Dollar</t>
  </si>
  <si>
    <t>SBD</t>
  </si>
  <si>
    <t>SI$</t>
  </si>
  <si>
    <t>SBD - Solomon Islands Dollar (SI$)</t>
  </si>
  <si>
    <t>Seychelles Rupee</t>
  </si>
  <si>
    <t>SCR</t>
  </si>
  <si>
    <t>SR</t>
  </si>
  <si>
    <t>SCR - Seychelles Rupee (SR)</t>
  </si>
  <si>
    <t>Sudanese Pound</t>
  </si>
  <si>
    <t>SDG</t>
  </si>
  <si>
    <t>SDG - Sudanese Pound (SDG)</t>
  </si>
  <si>
    <t>Indonesia</t>
  </si>
  <si>
    <t>Swedish Krona</t>
  </si>
  <si>
    <t>SEK</t>
  </si>
  <si>
    <t>SEK - Swedish Krona (kr)</t>
  </si>
  <si>
    <t>Singapore Dollar</t>
  </si>
  <si>
    <t>SGD</t>
  </si>
  <si>
    <t>S$</t>
  </si>
  <si>
    <t>SGD - Singapore Dollar (S$)</t>
  </si>
  <si>
    <t>St Helena Pound</t>
  </si>
  <si>
    <t>SHP</t>
  </si>
  <si>
    <t>SHP - St Helena Pound (£)</t>
  </si>
  <si>
    <t>Slovak Koruna</t>
  </si>
  <si>
    <t>SKK</t>
  </si>
  <si>
    <t>Sk</t>
  </si>
  <si>
    <t>SKK - Slovak Koruna (Sk)</t>
  </si>
  <si>
    <t>Sierra Leone Leone</t>
  </si>
  <si>
    <t>SLL</t>
  </si>
  <si>
    <t>Le</t>
  </si>
  <si>
    <t>SLL - Sierra Leone Leone (Le)</t>
  </si>
  <si>
    <t>Somali Shilling</t>
  </si>
  <si>
    <t>SOS</t>
  </si>
  <si>
    <t>So.</t>
  </si>
  <si>
    <t>SOS - Somali Shilling (So.)</t>
  </si>
  <si>
    <t>Sao Tome Dobra</t>
  </si>
  <si>
    <t>STD</t>
  </si>
  <si>
    <t>Db</t>
  </si>
  <si>
    <t>STD - Sao Tome Dobra (Db)</t>
  </si>
  <si>
    <t>Jamaica</t>
  </si>
  <si>
    <t>El Salvador Colon</t>
  </si>
  <si>
    <t>SVC</t>
  </si>
  <si>
    <t>SVC - El Salvador Colon (₡)</t>
  </si>
  <si>
    <t>Japan</t>
  </si>
  <si>
    <t>Syrian Pound</t>
  </si>
  <si>
    <t>SYP</t>
  </si>
  <si>
    <t>SYP - Syrian Pound (SYP)</t>
  </si>
  <si>
    <t>Swaziland Lilageni</t>
  </si>
  <si>
    <t>SZL</t>
  </si>
  <si>
    <t>SZL - Swaziland Lilageni (SZL)</t>
  </si>
  <si>
    <t>Thai Baht</t>
  </si>
  <si>
    <t>฿</t>
  </si>
  <si>
    <t>THB - Thai Baht (฿)</t>
  </si>
  <si>
    <t>Tunisian Dinar</t>
  </si>
  <si>
    <t>TND</t>
  </si>
  <si>
    <t>د.ت</t>
  </si>
  <si>
    <t>TND - Tunisian Dinar (د.ت)</t>
  </si>
  <si>
    <t>Tongan paʻanga</t>
  </si>
  <si>
    <t>TOP</t>
  </si>
  <si>
    <t>T$</t>
  </si>
  <si>
    <t>TOP - Tongan paʻanga (T$)</t>
  </si>
  <si>
    <t>Kiribati</t>
  </si>
  <si>
    <t>Turkish Lira</t>
  </si>
  <si>
    <t>TRY</t>
  </si>
  <si>
    <t>YTL</t>
  </si>
  <si>
    <t>TRY - Turkish Lira (YTL)</t>
  </si>
  <si>
    <t>Trinidad Tobago Dollar</t>
  </si>
  <si>
    <t>TTD</t>
  </si>
  <si>
    <t>TTD - Trinidad Tobago Dollar (TTD)</t>
  </si>
  <si>
    <t>Taiwan Dollar</t>
  </si>
  <si>
    <t>NT$</t>
  </si>
  <si>
    <t>TWD - Taiwan Dollar (NT$)</t>
  </si>
  <si>
    <t>Kyrgyzstan</t>
  </si>
  <si>
    <t>Tanzanian Shilling</t>
  </si>
  <si>
    <t>TZS</t>
  </si>
  <si>
    <t>x</t>
  </si>
  <si>
    <t>TZS - Tanzanian Shilling (x)</t>
  </si>
  <si>
    <t>Laos</t>
  </si>
  <si>
    <t>Ukraine Hryvnia</t>
  </si>
  <si>
    <t>UAH</t>
  </si>
  <si>
    <t>UAH - Ukraine Hryvnia ()</t>
  </si>
  <si>
    <t>Ugandan Shilling</t>
  </si>
  <si>
    <t>UGX</t>
  </si>
  <si>
    <t>USh</t>
  </si>
  <si>
    <t>UGX - Ugandan Shilling (USh)</t>
  </si>
  <si>
    <t>Uruguayan New Peso</t>
  </si>
  <si>
    <t>UYU</t>
  </si>
  <si>
    <t>UYU - Uruguayan New Peso (UYU)</t>
  </si>
  <si>
    <t>Lesotho</t>
  </si>
  <si>
    <t>Uzbekistan Sum</t>
  </si>
  <si>
    <t>UZS</t>
  </si>
  <si>
    <t>UZS - Uzbekistan Sum (UZS)</t>
  </si>
  <si>
    <t>Liberia</t>
  </si>
  <si>
    <t>Venezuelan Bolivar</t>
  </si>
  <si>
    <t>VEF</t>
  </si>
  <si>
    <t>VEF - Venezuelan Bolivar (VEF)</t>
  </si>
  <si>
    <t>Libya</t>
  </si>
  <si>
    <t>Vietnam Dong</t>
  </si>
  <si>
    <t>VND</t>
  </si>
  <si>
    <t>₫</t>
  </si>
  <si>
    <t>VND - Vietnam Dong (₫)</t>
  </si>
  <si>
    <t>Vanuatu Vatu</t>
  </si>
  <si>
    <t>VUV</t>
  </si>
  <si>
    <t>Vt</t>
  </si>
  <si>
    <t>VUV - Vanuatu Vatu (Vt)</t>
  </si>
  <si>
    <t>Samoa Tala</t>
  </si>
  <si>
    <t>WST</t>
  </si>
  <si>
    <t>WS$</t>
  </si>
  <si>
    <t>WST - Samoa Tala (WS$)</t>
  </si>
  <si>
    <t>CFA Franc (BEAC)</t>
  </si>
  <si>
    <t>XAF</t>
  </si>
  <si>
    <t>BEAC</t>
  </si>
  <si>
    <t>XAF - CFA Franc (BEAC) (BEAC)</t>
  </si>
  <si>
    <t>Macau</t>
  </si>
  <si>
    <t>East Caribbean Dollar</t>
  </si>
  <si>
    <t>XCD</t>
  </si>
  <si>
    <t>EC$</t>
  </si>
  <si>
    <t>XCD - East Caribbean Dollar (EC$)</t>
  </si>
  <si>
    <t>CFA Franc (BCEAO)</t>
  </si>
  <si>
    <t>XOF</t>
  </si>
  <si>
    <t>BCEAO</t>
  </si>
  <si>
    <t>XOF - CFA Franc (BCEAO) (BCEAO)</t>
  </si>
  <si>
    <t>Madagascar</t>
  </si>
  <si>
    <t>Pacific Franc</t>
  </si>
  <si>
    <t>XPF</t>
  </si>
  <si>
    <t>F</t>
  </si>
  <si>
    <t>XPF - Pacific Franc (F)</t>
  </si>
  <si>
    <t>Malawi</t>
  </si>
  <si>
    <t>Yemen Riyal</t>
  </si>
  <si>
    <t>YER</t>
  </si>
  <si>
    <t>YER - Yemen Riyal (YER)</t>
  </si>
  <si>
    <t>Malaysia</t>
  </si>
  <si>
    <t>South African Rand</t>
  </si>
  <si>
    <t>ZAR - South African Rand (R)</t>
  </si>
  <si>
    <t>Maldives</t>
  </si>
  <si>
    <t>Zambian Kwacha</t>
  </si>
  <si>
    <t>ZMK</t>
  </si>
  <si>
    <t>ZMK - Zambian Kwacha (ZMK)</t>
  </si>
  <si>
    <t>Mali</t>
  </si>
  <si>
    <t>Marshall Islands</t>
  </si>
  <si>
    <t>Martinique</t>
  </si>
  <si>
    <t>Mayotte</t>
  </si>
  <si>
    <t>Micronesia</t>
  </si>
  <si>
    <t>Mongolia</t>
  </si>
  <si>
    <t>Montserrat</t>
  </si>
  <si>
    <t>Morocco</t>
  </si>
  <si>
    <t>Mozambique</t>
  </si>
  <si>
    <t>Namibia</t>
  </si>
  <si>
    <t>Nauru</t>
  </si>
  <si>
    <t>Nepal</t>
  </si>
  <si>
    <t>New Caledonia</t>
  </si>
  <si>
    <t>New Zealand</t>
  </si>
  <si>
    <t>Nicaragua</t>
  </si>
  <si>
    <t>Niger</t>
  </si>
  <si>
    <t>Nigeria</t>
  </si>
  <si>
    <t>Niue</t>
  </si>
  <si>
    <t>Norfolk Island</t>
  </si>
  <si>
    <t>North Korea</t>
  </si>
  <si>
    <t>Northern Mariana Islands</t>
  </si>
  <si>
    <t>Oman</t>
  </si>
  <si>
    <t>Palau</t>
  </si>
  <si>
    <t>Panama</t>
  </si>
  <si>
    <t>Papua New Guinea</t>
  </si>
  <si>
    <t>Paraguay</t>
  </si>
  <si>
    <t>Peru</t>
  </si>
  <si>
    <t>Philippines</t>
  </si>
  <si>
    <t>Pitcairn Islands</t>
  </si>
  <si>
    <t>Puerto Rico</t>
  </si>
  <si>
    <t>Reunion</t>
  </si>
  <si>
    <t>Russia</t>
  </si>
  <si>
    <t>Rwanda</t>
  </si>
  <si>
    <t>Saint Barthelemy</t>
  </si>
  <si>
    <t>Saint Helena, Ascension, and Tristan da Cunha</t>
  </si>
  <si>
    <t>Saint Kitts and Nevis</t>
  </si>
  <si>
    <t>Saint Martin</t>
  </si>
  <si>
    <t>Saint Pierre and Miquelon</t>
  </si>
  <si>
    <t>Saint Vincent and the Grenadines</t>
  </si>
  <si>
    <t>Samoa</t>
  </si>
  <si>
    <t>Senegal</t>
  </si>
  <si>
    <t>Sierra Leone</t>
  </si>
  <si>
    <t>Singapore</t>
  </si>
  <si>
    <t>Sint Maarten</t>
  </si>
  <si>
    <t>Solomon Islands</t>
  </si>
  <si>
    <t>Somalia</t>
  </si>
  <si>
    <t>South Georgia and the Islands</t>
  </si>
  <si>
    <t>South Sudan</t>
  </si>
  <si>
    <t>Sri Lanka</t>
  </si>
  <si>
    <t>Sudan</t>
  </si>
  <si>
    <t>Suriname</t>
  </si>
  <si>
    <t>Svalbard</t>
  </si>
  <si>
    <t>Swaziland</t>
  </si>
  <si>
    <t>Syria</t>
  </si>
  <si>
    <t>Tajikistan</t>
  </si>
  <si>
    <t>Tanzania</t>
  </si>
  <si>
    <t>Togo</t>
  </si>
  <si>
    <t>Tokelau</t>
  </si>
  <si>
    <t>Tonga</t>
  </si>
  <si>
    <t>Trinidad and Tobago</t>
  </si>
  <si>
    <t>Turkmenistan</t>
  </si>
  <si>
    <t>Turks and Caicos Islands</t>
  </si>
  <si>
    <t>Tuvalu</t>
  </si>
  <si>
    <t>Uganda</t>
  </si>
  <si>
    <t>United States</t>
  </si>
  <si>
    <t>Uruguay</t>
  </si>
  <si>
    <t>Uzbekistan</t>
  </si>
  <si>
    <t>Vanuatu</t>
  </si>
  <si>
    <t>Venezuela</t>
  </si>
  <si>
    <t>Vietnam</t>
  </si>
  <si>
    <t>Wallis and Futuna</t>
  </si>
  <si>
    <t>West Bank</t>
  </si>
  <si>
    <t>Western Sahara</t>
  </si>
  <si>
    <t>Yemen</t>
  </si>
  <si>
    <t>Zambia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</si>
</sst>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6" x14ac:knownFonts="1">
    <font>
      <sz val="11"/>
      <color theme="1"/>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4"/>
      <color theme="0"/>
      <name val="Calibri"/>
      <family val="2"/>
      <scheme val="minor"/>
    </font>
    <font>
      <b/>
      <sz val="20"/>
      <color theme="0"/>
      <name val="Calibri"/>
      <family val="2"/>
      <scheme val="minor"/>
    </font>
    <font>
      <b/>
      <sz val="22"/>
      <color rgb="FFFFFF00"/>
      <name val="Calibri"/>
      <family val="2"/>
      <scheme val="minor"/>
    </font>
    <font>
      <u/>
      <sz val="11"/>
      <color theme="10"/>
      <name val="Calibri"/>
      <family val="2"/>
      <scheme val="minor"/>
    </font>
    <font>
      <b/>
      <sz val="16"/>
      <color rgb="FFFFFF00"/>
      <name val="Calibri"/>
      <family val="2"/>
      <scheme val="minor"/>
    </font>
    <font>
      <b/>
      <sz val="9"/>
      <color indexed="81"/>
      <name val="Tahoma"/>
      <family val="2"/>
    </font>
    <font>
      <b/>
      <u/>
      <sz val="11"/>
      <color theme="1"/>
      <name val="Calibri"/>
      <family val="2"/>
      <scheme val="minor"/>
    </font>
    <font>
      <sz val="11"/>
      <color rgb="FFFF0000"/>
      <name val="Calibri"/>
      <family val="2"/>
      <scheme val="minor"/>
    </font>
    <font>
      <sz val="11"/>
      <name val="Calibri"/>
      <family val="2"/>
      <scheme val="minor"/>
    </font>
    <font>
      <sz val="11"/>
      <color theme="1"/>
      <name val="Rockwell Extra Bold"/>
      <family val="1"/>
    </font>
    <font>
      <b/>
      <sz val="11"/>
      <name val="Calibri"/>
      <family val="2"/>
      <scheme val="minor"/>
    </font>
    <font>
      <sz val="9"/>
      <color indexed="81"/>
      <name val="Tahoma"/>
      <family val="2"/>
    </font>
  </fonts>
  <fills count="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4"/>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0" fontId="0" fillId="0" borderId="0" xfId="0" applyAlignment="1">
      <alignment vertical="center"/>
    </xf>
    <xf numFmtId="0" fontId="0" fillId="0" borderId="0" xfId="0" applyAlignment="1">
      <alignment vertical="center" wrapText="1"/>
    </xf>
    <xf numFmtId="0" fontId="1" fillId="3" borderId="1" xfId="0" applyFont="1" applyFill="1" applyBorder="1" applyAlignment="1">
      <alignment vertical="center" wrapText="1"/>
    </xf>
    <xf numFmtId="0" fontId="0" fillId="0" borderId="0" xfId="0" applyAlignment="1">
      <alignment horizontal="center" vertical="center"/>
    </xf>
    <xf numFmtId="0" fontId="0" fillId="0" borderId="0" xfId="0" applyAlignment="1" applyProtection="1">
      <alignment horizontal="center" vertical="center" wrapText="1"/>
      <protection hidden="1"/>
    </xf>
    <xf numFmtId="0" fontId="0" fillId="0" borderId="0" xfId="0" applyAlignment="1" applyProtection="1">
      <alignment vertical="center" wrapText="1"/>
      <protection hidden="1"/>
    </xf>
    <xf numFmtId="49" fontId="0" fillId="0" borderId="0" xfId="0" applyNumberFormat="1" applyAlignment="1" applyProtection="1">
      <alignment vertical="center"/>
      <protection hidden="1"/>
    </xf>
    <xf numFmtId="0" fontId="0" fillId="0" borderId="0" xfId="0" applyAlignment="1" applyProtection="1">
      <alignment vertical="center"/>
      <protection hidden="1"/>
    </xf>
    <xf numFmtId="0" fontId="1" fillId="3" borderId="1" xfId="0" applyFont="1" applyFill="1" applyBorder="1" applyAlignment="1" applyProtection="1">
      <alignment vertical="center" wrapText="1"/>
      <protection hidden="1"/>
    </xf>
    <xf numFmtId="0" fontId="1" fillId="3" borderId="8" xfId="0" applyFont="1" applyFill="1" applyBorder="1" applyAlignment="1" applyProtection="1">
      <alignment vertical="center" wrapText="1"/>
      <protection hidden="1"/>
    </xf>
    <xf numFmtId="0" fontId="8" fillId="4" borderId="11" xfId="1" applyFont="1" applyFill="1" applyBorder="1" applyAlignment="1" applyProtection="1">
      <alignment horizontal="center" vertical="center" wrapText="1"/>
      <protection locked="0" hidden="1"/>
    </xf>
    <xf numFmtId="0" fontId="7" fillId="0" borderId="0" xfId="1" applyAlignment="1" applyProtection="1">
      <alignment vertical="center"/>
      <protection hidden="1"/>
    </xf>
    <xf numFmtId="0" fontId="11" fillId="0" borderId="0" xfId="0" applyFont="1" applyAlignment="1" applyProtection="1">
      <alignment horizontal="center" vertical="center" wrapText="1"/>
      <protection hidden="1"/>
    </xf>
    <xf numFmtId="0" fontId="11" fillId="0" borderId="0" xfId="0" applyFont="1" applyAlignment="1">
      <alignment horizontal="center" vertical="center"/>
    </xf>
    <xf numFmtId="0" fontId="12" fillId="0" borderId="0" xfId="0" applyFont="1" applyAlignment="1" applyProtection="1">
      <alignment horizontal="center" vertical="center" wrapText="1"/>
      <protection hidden="1"/>
    </xf>
    <xf numFmtId="0" fontId="12" fillId="0" borderId="0" xfId="0" applyFont="1" applyAlignment="1">
      <alignment horizontal="center" vertical="center"/>
    </xf>
    <xf numFmtId="49" fontId="0" fillId="0" borderId="0" xfId="0" applyNumberFormat="1" applyAlignment="1" applyProtection="1">
      <alignment vertical="center" wrapText="1"/>
      <protection hidden="1"/>
    </xf>
    <xf numFmtId="0" fontId="0" fillId="0" borderId="0" xfId="0"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pplyProtection="1">
      <alignment vertical="center" wrapText="1"/>
      <protection hidden="1"/>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49" fontId="0" fillId="0" borderId="1" xfId="0" applyNumberFormat="1" applyBorder="1" applyAlignment="1" applyProtection="1">
      <alignment vertical="center" wrapText="1"/>
      <protection locked="0"/>
    </xf>
    <xf numFmtId="49" fontId="7" fillId="0" borderId="1" xfId="1" applyNumberFormat="1" applyBorder="1" applyAlignment="1" applyProtection="1">
      <alignment vertical="center" wrapText="1"/>
      <protection locked="0"/>
    </xf>
    <xf numFmtId="164" fontId="0" fillId="0" borderId="1" xfId="0" applyNumberFormat="1" applyBorder="1" applyAlignment="1" applyProtection="1">
      <alignment horizontal="left" vertical="center" wrapText="1"/>
      <protection locked="0"/>
    </xf>
    <xf numFmtId="49" fontId="0" fillId="0" borderId="1" xfId="0" applyNumberFormat="1" applyBorder="1" applyAlignment="1" applyProtection="1">
      <alignment vertical="center"/>
      <protection locked="0"/>
    </xf>
    <xf numFmtId="49" fontId="7" fillId="0" borderId="1" xfId="1" applyNumberFormat="1" applyBorder="1" applyAlignment="1" applyProtection="1">
      <alignment vertical="center"/>
      <protection locked="0"/>
    </xf>
    <xf numFmtId="164" fontId="0" fillId="0" borderId="1" xfId="0" applyNumberFormat="1" applyBorder="1" applyAlignment="1" applyProtection="1">
      <alignment horizontal="left" vertical="center"/>
      <protection locked="0"/>
    </xf>
    <xf numFmtId="0" fontId="1" fillId="3" borderId="1" xfId="0" applyFont="1" applyFill="1" applyBorder="1" applyAlignment="1" applyProtection="1">
      <alignment vertical="center" wrapText="1"/>
      <protection locked="0" hidden="1"/>
    </xf>
    <xf numFmtId="49" fontId="13" fillId="0" borderId="1" xfId="0" applyNumberFormat="1" applyFont="1" applyBorder="1" applyAlignment="1" applyProtection="1">
      <alignment vertical="center" wrapText="1"/>
      <protection locked="0"/>
    </xf>
    <xf numFmtId="49" fontId="13" fillId="0" borderId="1" xfId="0" applyNumberFormat="1" applyFont="1" applyBorder="1" applyAlignment="1" applyProtection="1">
      <alignment vertical="center"/>
      <protection locked="0"/>
    </xf>
    <xf numFmtId="0" fontId="1" fillId="0" borderId="0" xfId="0" applyFont="1" applyAlignment="1" applyProtection="1">
      <alignment vertical="center"/>
      <protection hidden="1"/>
    </xf>
    <xf numFmtId="0" fontId="14" fillId="3" borderId="1" xfId="1" applyFont="1" applyFill="1" applyBorder="1" applyAlignment="1" applyProtection="1">
      <alignment vertical="center" wrapText="1"/>
      <protection locked="0" hidden="1"/>
    </xf>
    <xf numFmtId="0" fontId="12" fillId="0" borderId="1" xfId="1" applyNumberFormat="1" applyFont="1" applyBorder="1" applyAlignment="1" applyProtection="1">
      <alignment horizontal="left" vertical="center" wrapText="1"/>
      <protection locked="0"/>
    </xf>
    <xf numFmtId="49" fontId="12" fillId="0" borderId="1" xfId="1" applyNumberFormat="1" applyFont="1" applyBorder="1" applyAlignment="1" applyProtection="1">
      <alignment vertical="center" wrapText="1"/>
      <protection locked="0"/>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0" fillId="3" borderId="4" xfId="0" applyFill="1" applyBorder="1" applyAlignment="1" applyProtection="1">
      <alignment vertical="center" wrapText="1"/>
      <protection hidden="1"/>
    </xf>
    <xf numFmtId="0" fontId="0" fillId="3" borderId="5" xfId="0" applyFill="1" applyBorder="1" applyAlignment="1" applyProtection="1">
      <alignment vertical="center" wrapText="1"/>
      <protection hidden="1"/>
    </xf>
    <xf numFmtId="0" fontId="3" fillId="3" borderId="6" xfId="0" applyFont="1" applyFill="1" applyBorder="1" applyAlignment="1" applyProtection="1">
      <alignment vertical="center" wrapText="1"/>
      <protection hidden="1"/>
    </xf>
    <xf numFmtId="0" fontId="3" fillId="3" borderId="7" xfId="0" applyFont="1" applyFill="1" applyBorder="1" applyAlignment="1" applyProtection="1">
      <alignment vertical="center" wrapText="1"/>
      <protection hidden="1"/>
    </xf>
    <xf numFmtId="0" fontId="6" fillId="4" borderId="9" xfId="0" applyFont="1" applyFill="1" applyBorder="1" applyAlignment="1" applyProtection="1">
      <alignment horizontal="center" vertical="center" wrapText="1"/>
      <protection locked="0" hidden="1"/>
    </xf>
    <xf numFmtId="0" fontId="6" fillId="4" borderId="10" xfId="0" applyFont="1" applyFill="1" applyBorder="1" applyAlignment="1" applyProtection="1">
      <alignment horizontal="center" vertical="center" wrapText="1"/>
      <protection locked="0" hidden="1"/>
    </xf>
    <xf numFmtId="0" fontId="4" fillId="2" borderId="0" xfId="0" applyFont="1" applyFill="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top" wrapText="1"/>
      <protection hidden="1"/>
    </xf>
    <xf numFmtId="0" fontId="2" fillId="2" borderId="0" xfId="0" applyFont="1" applyFill="1" applyAlignment="1" applyProtection="1">
      <alignment horizontal="center" vertical="top" wrapText="1"/>
      <protection hidden="1"/>
    </xf>
    <xf numFmtId="0" fontId="2" fillId="2" borderId="0" xfId="0" applyFont="1" applyFill="1" applyAlignment="1" applyProtection="1">
      <alignment horizontal="center" vertical="center" wrapText="1"/>
      <protection hidden="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1" fillId="5" borderId="2"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cellXfs>
  <cellStyles count="2">
    <cellStyle name="Hyperlink" xfId="1" builtinId="8"/>
    <cellStyle name="Normal" xfId="0" builtinId="0"/>
  </cellStyles>
  <dxfs count="59">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patternType="none">
          <bgColor auto="1"/>
        </patternFill>
      </fill>
      <border>
        <left/>
        <right/>
        <top/>
        <bottom/>
        <vertical/>
        <horizontal/>
      </border>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dxf>
    <dxf>
      <fill>
        <patternFill>
          <bgColor rgb="FFFF0000"/>
        </patternFill>
      </fill>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1428750</xdr:colOff>
      <xdr:row>1</xdr:row>
      <xdr:rowOff>28575</xdr:rowOff>
    </xdr:from>
    <xdr:to>
      <xdr:col>3</xdr:col>
      <xdr:colOff>142875</xdr:colOff>
      <xdr:row>1</xdr:row>
      <xdr:rowOff>676275</xdr:rowOff>
    </xdr:to>
    <xdr:grpSp>
      <xdr:nvGrpSpPr>
        <xdr:cNvPr id="7" name="Group 6">
          <a:extLst>
            <a:ext uri="{FF2B5EF4-FFF2-40B4-BE49-F238E27FC236}">
              <a16:creationId xmlns:a16="http://schemas.microsoft.com/office/drawing/2014/main" xmlns="" id="{377637B2-1AED-47DC-B875-160404A4D3EF}"/>
            </a:ext>
          </a:extLst>
        </xdr:cNvPr>
        <xdr:cNvGrpSpPr/>
      </xdr:nvGrpSpPr>
      <xdr:grpSpPr>
        <a:xfrm>
          <a:off x="1954530" y="211455"/>
          <a:ext cx="4589145" cy="647700"/>
          <a:chOff x="1971675" y="95250"/>
          <a:chExt cx="4429125" cy="647700"/>
        </a:xfrm>
      </xdr:grpSpPr>
      <xdr:pic>
        <xdr:nvPicPr>
          <xdr:cNvPr id="2" name="Picture 1">
            <a:extLst>
              <a:ext uri="{FF2B5EF4-FFF2-40B4-BE49-F238E27FC236}">
                <a16:creationId xmlns:a16="http://schemas.microsoft.com/office/drawing/2014/main" xmlns="" id="{39D38DD1-57B7-40D5-9A18-9F397790E117}"/>
              </a:ext>
            </a:extLst>
          </xdr:cNvPr>
          <xdr:cNvPicPr>
            <a:picLocks noChangeAspect="1"/>
          </xdr:cNvPicPr>
        </xdr:nvPicPr>
        <xdr:blipFill>
          <a:blip xmlns:r="http://schemas.openxmlformats.org/officeDocument/2006/relationships" r:embed="rId1"/>
          <a:stretch>
            <a:fillRect/>
          </a:stretch>
        </xdr:blipFill>
        <xdr:spPr>
          <a:xfrm>
            <a:off x="1971675" y="95250"/>
            <a:ext cx="4337685" cy="590550"/>
          </a:xfrm>
          <a:prstGeom prst="rect">
            <a:avLst/>
          </a:prstGeom>
        </xdr:spPr>
      </xdr:pic>
      <xdr:sp macro="" textlink="">
        <xdr:nvSpPr>
          <xdr:cNvPr id="6" name="TextBox 5">
            <a:extLst>
              <a:ext uri="{FF2B5EF4-FFF2-40B4-BE49-F238E27FC236}">
                <a16:creationId xmlns:a16="http://schemas.microsoft.com/office/drawing/2014/main" xmlns="" id="{E8940A1C-4CAB-4F6D-929B-1B9D1DF89B6A}"/>
              </a:ext>
            </a:extLst>
          </xdr:cNvPr>
          <xdr:cNvSpPr txBox="1"/>
        </xdr:nvSpPr>
        <xdr:spPr>
          <a:xfrm>
            <a:off x="2524126" y="114302"/>
            <a:ext cx="3876674" cy="628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lang="en-US" sz="2800" b="1">
                <a:solidFill>
                  <a:srgbClr val="002060"/>
                </a:solidFill>
                <a:latin typeface="Garamond" panose="02020404030301010803" pitchFamily="18" charset="0"/>
              </a:rPr>
              <a:t>EMORY UNIVERSITY</a:t>
            </a:r>
          </a:p>
          <a:p>
            <a:pPr algn="ctr"/>
            <a:r>
              <a:rPr lang="en-US" sz="1600" b="1">
                <a:solidFill>
                  <a:srgbClr val="002060"/>
                </a:solidFill>
                <a:latin typeface="Garamond" panose="02020404030301010803" pitchFamily="18" charset="0"/>
              </a:rPr>
              <a:t>Accounts Payable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I10"/>
  <sheetViews>
    <sheetView showGridLines="0" tabSelected="1" workbookViewId="0">
      <selection activeCell="D7" sqref="D7"/>
    </sheetView>
  </sheetViews>
  <sheetFormatPr defaultColWidth="9.109375" defaultRowHeight="14.4" x14ac:dyDescent="0.3"/>
  <cols>
    <col min="1" max="1" width="4.109375" style="8" customWidth="1"/>
    <col min="2" max="2" width="3.5546875" style="8" customWidth="1"/>
    <col min="3" max="3" width="85.6640625" style="6" customWidth="1"/>
    <col min="4" max="4" width="22.5546875" style="8" customWidth="1"/>
    <col min="5" max="16384" width="9.109375" style="8"/>
  </cols>
  <sheetData>
    <row r="1" spans="3:9" x14ac:dyDescent="0.3">
      <c r="C1" s="22" t="s">
        <v>0</v>
      </c>
    </row>
    <row r="2" spans="3:9" ht="54" customHeight="1" x14ac:dyDescent="0.3">
      <c r="C2" s="38"/>
      <c r="D2" s="39"/>
      <c r="I2" s="12"/>
    </row>
    <row r="3" spans="3:9" ht="25.8" x14ac:dyDescent="0.3">
      <c r="C3" s="40" t="s">
        <v>1</v>
      </c>
      <c r="D3" s="41"/>
    </row>
    <row r="4" spans="3:9" ht="67.5" customHeight="1" x14ac:dyDescent="0.3">
      <c r="C4" s="42" t="s">
        <v>2</v>
      </c>
      <c r="D4" s="43"/>
    </row>
    <row r="5" spans="3:9" ht="28.2" customHeight="1" x14ac:dyDescent="0.3">
      <c r="C5" s="44" t="s">
        <v>3</v>
      </c>
      <c r="D5" s="45"/>
    </row>
    <row r="6" spans="3:9" ht="24" customHeight="1" x14ac:dyDescent="0.3">
      <c r="C6" s="48" t="s">
        <v>4</v>
      </c>
      <c r="D6" s="48"/>
    </row>
    <row r="7" spans="3:9" x14ac:dyDescent="0.3">
      <c r="C7" s="9" t="s">
        <v>5</v>
      </c>
      <c r="D7" s="23"/>
    </row>
    <row r="8" spans="3:9" ht="15" thickBot="1" x14ac:dyDescent="0.35">
      <c r="C8" s="10" t="str">
        <f>IF(D7="","",IF(D7="Company","Is your company a US based entity for tax purposes?","Are you a US citizen or resident for tax purposes?"))</f>
        <v/>
      </c>
      <c r="D8" s="24"/>
    </row>
    <row r="9" spans="3:9" ht="30" thickTop="1" thickBot="1" x14ac:dyDescent="0.35">
      <c r="C9" s="46" t="str">
        <f>IF(AND(D7&lt;&gt;"",D8="No"),HYPERLINK(CONCATENATE("#FRGN!h4"),"Click Here to Proceed"),IF(AND(D7="Study Participant",D8="Yes"),HYPERLINK(CONCATENATE("#STPT!h10"),"Click Here to Proceed"),IF(AND(D7="Individual",D8="Yes"),HYPERLINK(CONCATENATE("#INDV!h4"),"Click Here to Proceed"),IF(AND(D7="Company",D8="Yes"),HYPERLINK(CONCATENATE("#CPNY!h4"),"Click Here to Proceed"),"Please fill in all Yellow Cells"))))</f>
        <v>Please fill in all Yellow Cells</v>
      </c>
      <c r="D9" s="47"/>
    </row>
    <row r="10" spans="3:9" ht="17.25" customHeight="1" thickTop="1" x14ac:dyDescent="0.3"/>
  </sheetData>
  <sheetProtection algorithmName="SHA-512" hashValue="eMkOoJ9J9hfVRjEC2KSgVK6F7mP/tw/ZVxBIz0ctqAm63fH5o8nAwa7C5Y/yyLONx0+mHMX2S+UIEiqBhmgl/g==" saltValue="PHH5KHMjJYWmw/a17zL0mQ==" spinCount="100000" sheet="1" selectLockedCells="1"/>
  <mergeCells count="6">
    <mergeCell ref="C2:D2"/>
    <mergeCell ref="C3:D3"/>
    <mergeCell ref="C4:D4"/>
    <mergeCell ref="C5:D5"/>
    <mergeCell ref="C9:D9"/>
    <mergeCell ref="C6:D6"/>
  </mergeCells>
  <conditionalFormatting sqref="D7">
    <cfRule type="containsBlanks" dxfId="58" priority="3">
      <formula>LEN(TRIM(D7))=0</formula>
    </cfRule>
  </conditionalFormatting>
  <conditionalFormatting sqref="D8">
    <cfRule type="expression" dxfId="57" priority="1">
      <formula>AND($D$8="",$D$7&lt;&gt;"Study Participant",$D$7&lt;&gt;"")</formula>
    </cfRule>
  </conditionalFormatting>
  <dataValidations count="2">
    <dataValidation type="list" allowBlank="1" showInputMessage="1" showErrorMessage="1" sqref="D7">
      <formula1>"Company,Individual,Study Participant"</formula1>
    </dataValidation>
    <dataValidation type="list" allowBlank="1" showInputMessage="1" showErrorMessage="1" sqref="D8">
      <formula1>"Yes,No"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72"/>
  <sheetViews>
    <sheetView showGridLines="0" zoomScaleNormal="100" workbookViewId="0">
      <pane ySplit="2" topLeftCell="A3" activePane="bottomLeft" state="frozen"/>
      <selection pane="bottomLeft" activeCell="H4" sqref="H4"/>
    </sheetView>
  </sheetViews>
  <sheetFormatPr defaultColWidth="9.109375" defaultRowHeight="14.4" x14ac:dyDescent="0.3"/>
  <cols>
    <col min="1" max="1" width="1.109375" style="8" customWidth="1"/>
    <col min="2" max="2" width="12.5546875" style="5" hidden="1" customWidth="1"/>
    <col min="3" max="3" width="9.88671875" style="5" hidden="1" customWidth="1"/>
    <col min="4" max="4" width="9.6640625" style="5" hidden="1" customWidth="1"/>
    <col min="5" max="6" width="4.6640625" style="5" hidden="1" customWidth="1"/>
    <col min="7" max="7" width="65.6640625" style="6" customWidth="1"/>
    <col min="8" max="8" width="74.33203125" style="7" customWidth="1"/>
    <col min="9" max="9" width="1.33203125" style="8" customWidth="1"/>
    <col min="10" max="10" width="12" style="8" customWidth="1"/>
    <col min="11" max="16384" width="9.109375" style="8"/>
  </cols>
  <sheetData>
    <row r="1" spans="2:10" ht="15" thickBot="1" x14ac:dyDescent="0.35">
      <c r="G1" s="34" t="str">
        <f>Home!C1&amp;" ("&amp;IF(Home!D8="No","Foreign Source Statement for ","")&amp;Home!$D$7&amp;")"</f>
        <v>Supplier Information Form (SIF) Version 2.0 Effective 5-4-2021 ()</v>
      </c>
    </row>
    <row r="2" spans="2:10" ht="63" customHeight="1" thickTop="1" thickBot="1" x14ac:dyDescent="0.35">
      <c r="B2" s="5" t="str">
        <f>IF(Home!$D$8="No","Conditional Formatting","")</f>
        <v/>
      </c>
      <c r="C2" s="5" t="s">
        <v>6</v>
      </c>
      <c r="D2" s="5" t="s">
        <v>7</v>
      </c>
      <c r="G2" s="49" t="str">
        <f>IF(AND(COUNTIF($B$3:$B$72,"R")&gt;0,COUNTIF($B$3:$B$72,"C")&gt;0),"There are "&amp;COUNTIF($B$3:$B$72,"R")&amp;" required fields remaining highlighted in yellow with mini-dots."&amp;CHAR(10)&amp;"There are "&amp;COUNTIF($B$3:$B$72,"C")&amp;" fields that need correction highlighted in red.",IF(AND(COUNTIF($B$3:$B$72,"R")&gt;0,COUNTIF($B$3:$B$72,"C")=0),"There are "&amp;COUNTIF($B$3:$B$72,"R")&amp;" required fields remaining highlighted in yellow with mini-dots.",IF(AND(COUNTIF($B$3:$B$72,"R")=0,COUNTIF($B$3:$B$72,"C")&gt;0),"There are "&amp;COUNTIF($B$3:$B$72,"C")&amp;" fields that need correction highlighted in red.","Completed! Please submit this excel file to the Emory personnel that provided you this form.")))</f>
        <v>Completed! Please submit this excel file to the Emory personnel that provided you this form.</v>
      </c>
      <c r="H2" s="50"/>
      <c r="J2" s="11" t="str">
        <f>HYPERLINK(CONCATENATE("#Home!D8"),"Click Here to Go Back")</f>
        <v>Click Here to Go Back</v>
      </c>
    </row>
    <row r="3" spans="2:10" ht="23.25" customHeight="1" thickTop="1" x14ac:dyDescent="0.3">
      <c r="B3" s="5" t="str">
        <f>IF(OR(Home!$D$8="",Home!$D$8="Yes"),"",IF(H3="",HLOOKUP(Home!$D$8,FRGN!$D$2:$F$72,ROW(A2),FALSE),IF(C3=FALSE,"C")))</f>
        <v/>
      </c>
      <c r="C3" s="5" t="b">
        <v>1</v>
      </c>
      <c r="D3" s="15" t="s">
        <v>8</v>
      </c>
      <c r="E3" s="15"/>
      <c r="F3" s="15"/>
      <c r="G3" s="48" t="str">
        <f>Home!$D$7&amp;" Prerequisite Questions"</f>
        <v xml:space="preserve"> Prerequisite Questions</v>
      </c>
      <c r="H3" s="53"/>
    </row>
    <row r="4" spans="2:10" ht="30.75" customHeight="1" x14ac:dyDescent="0.3">
      <c r="B4" s="5" t="str">
        <f>IF(OR(Home!$D$8="",Home!$D$8="Yes"),"",IF(H4="",HLOOKUP(Home!$D$8,FRGN!$D$2:$F$72,ROW(A3),FALSE),IF(C4=FALSE,"C")))</f>
        <v/>
      </c>
      <c r="C4" s="5" t="b">
        <v>1</v>
      </c>
      <c r="D4" s="15" t="s">
        <v>9</v>
      </c>
      <c r="E4" s="15"/>
      <c r="F4" s="15"/>
      <c r="G4" s="9" t="str">
        <f>IF(Home!$D$7="Company","Is your company",IF(Home!$D$7&lt;&gt;"Company","Are you",""))&amp;" filling out this form to update current information on file with Emory? If not sure, select 'No' from drop down box."</f>
        <v>Are you filling out this form to update current information on file with Emory? If not sure, select 'No' from drop down box.</v>
      </c>
      <c r="H4" s="25"/>
    </row>
    <row r="5" spans="2:10" ht="30.75" customHeight="1" x14ac:dyDescent="0.3">
      <c r="B5" s="5" t="str">
        <f>IF(OR(Home!$D$8="",Home!$D$8="Yes"),"",IF(H5="",HLOOKUP(Home!$D$8,FRGN!$D$2:$F$72,ROW(A4),FALSE),IF(C5=FALSE,"C")))</f>
        <v/>
      </c>
      <c r="C5" s="5" t="b">
        <v>1</v>
      </c>
      <c r="D5" s="15" t="str">
        <f>IF(H4="Yes","R","Y")</f>
        <v>Y</v>
      </c>
      <c r="E5" s="15"/>
      <c r="F5" s="15"/>
      <c r="G5" s="9" t="str">
        <f>IF(H4="Yes",IF(Home!$D$7="Company","Does your company",IF(Home!$D$7&lt;&gt;"Company","Do you",""))&amp;" only need to update the Wire Payment information on file with Emory?","")</f>
        <v/>
      </c>
      <c r="H5" s="25"/>
    </row>
    <row r="6" spans="2:10" ht="30.75" customHeight="1" x14ac:dyDescent="0.3">
      <c r="B6" s="5" t="str">
        <f>IF(OR(Home!$D$8="",Home!$D$8="Yes"),"",IF(H6="",HLOOKUP(Home!$D$8,FRGN!$D$2:$F$72,ROW(A5),FALSE),IF(C6=FALSE,"C")))</f>
        <v/>
      </c>
      <c r="C6" s="5" t="b">
        <v>1</v>
      </c>
      <c r="D6" s="15" t="str">
        <f>IF(Home!D7="Company","R","Y")</f>
        <v>Y</v>
      </c>
      <c r="E6" s="15"/>
      <c r="F6" s="15"/>
      <c r="G6" s="9" t="str">
        <f>IF(Home!D7="Company","Is your company the direct output of a merger, acquisition, or spinoff?","")</f>
        <v/>
      </c>
      <c r="H6" s="25"/>
    </row>
    <row r="7" spans="2:10" ht="46.5" customHeight="1" x14ac:dyDescent="0.3">
      <c r="B7" s="5" t="str">
        <f>IF(OR(Home!$D$8="",Home!$D$8="Yes"),"",IF(H7="",HLOOKUP(Home!$D$8,FRGN!$D$2:$F$72,ROW(A6),FALSE),IF(C7=FALSE,"C")))</f>
        <v/>
      </c>
      <c r="C7" s="5" t="b">
        <v>1</v>
      </c>
      <c r="D7" s="15" t="str">
        <f>IF(H6="Yes","R","Y")</f>
        <v>Y</v>
      </c>
      <c r="E7" s="15"/>
      <c r="F7" s="15"/>
      <c r="G7" s="9" t="str">
        <f>IF(H6="Yes","Please provide a brief description of the merger, acquisition, or spinoff:","")</f>
        <v/>
      </c>
      <c r="H7" s="25"/>
    </row>
    <row r="8" spans="2:10" ht="14.25" customHeight="1" x14ac:dyDescent="0.3">
      <c r="B8" s="5" t="str">
        <f>IF(OR(Home!$D$8="",Home!$D$8="Yes"),"",IF(H8="",HLOOKUP(Home!$D$8,FRGN!$D$2:$F$72,ROW(A7),FALSE),IF(C8=FALSE,"C")))</f>
        <v/>
      </c>
      <c r="C8" s="5" t="b">
        <v>1</v>
      </c>
      <c r="D8" s="15" t="s">
        <v>8</v>
      </c>
      <c r="E8" s="15"/>
      <c r="F8" s="15"/>
      <c r="G8" s="48"/>
      <c r="H8" s="53"/>
    </row>
    <row r="9" spans="2:10" ht="30.75" customHeight="1" x14ac:dyDescent="0.3">
      <c r="B9" s="5" t="str">
        <f>IF(OR(Home!$D$8="",Home!$D$8="Yes"),"",IF(H9="",HLOOKUP(Home!$D$8,FRGN!$D$2:$F$72,ROW(A8),FALSE),IF(C9=FALSE,"C")))</f>
        <v/>
      </c>
      <c r="C9" s="5" t="b">
        <v>1</v>
      </c>
      <c r="D9" s="15" t="str">
        <f>IF(COUNTIF($B$4:$B$7,"R")&gt;0,"","Y")</f>
        <v>Y</v>
      </c>
      <c r="G9" s="51" t="str">
        <f>Home!$D$7&amp;" Name and General Information"</f>
        <v xml:space="preserve"> Name and General Information</v>
      </c>
      <c r="H9" s="52"/>
    </row>
    <row r="10" spans="2:10" x14ac:dyDescent="0.3">
      <c r="B10" s="5" t="str">
        <f>IF(OR(Home!$D$8="",Home!$D$8="Yes"),"",IF(H10="",HLOOKUP(Home!$D$8,FRGN!$D$2:$F$72,ROW(A9),FALSE),IF(C10=FALSE,"C")))</f>
        <v/>
      </c>
      <c r="C10" s="5" t="b">
        <v>1</v>
      </c>
      <c r="D10" s="15" t="str">
        <f>IF(COUNTIF($B$4:$B$7,"R")&gt;0,"",IF($H$5="Yes","Y","R"))</f>
        <v>R</v>
      </c>
      <c r="G10" s="9" t="s">
        <v>10</v>
      </c>
      <c r="H10" s="28"/>
    </row>
    <row r="11" spans="2:10" x14ac:dyDescent="0.3">
      <c r="B11" s="5" t="str">
        <f>IF(OR(Home!$D$8="",Home!$D$8="Yes"),"",IF(H11="",HLOOKUP(Home!$D$8,FRGN!$D$2:$F$72,ROW(A10),FALSE),IF(C11=FALSE,"C")))</f>
        <v/>
      </c>
      <c r="C11" s="5" t="b">
        <v>1</v>
      </c>
      <c r="D11" s="15" t="str">
        <f>IF(COUNTIF($B$4:$B$7,"R")&gt;0,"","Y")</f>
        <v>Y</v>
      </c>
      <c r="G11" s="9" t="s">
        <v>11</v>
      </c>
      <c r="H11" s="28"/>
    </row>
    <row r="12" spans="2:10" x14ac:dyDescent="0.3">
      <c r="B12" s="5" t="str">
        <f>IF(OR(Home!$D$8="",Home!$D$8="Yes"),"",IF(H12="",HLOOKUP(Home!$D$8,FRGN!$D$2:$F$72,ROW(A11),FALSE),IF(C12=FALSE,"C")))</f>
        <v/>
      </c>
      <c r="C12" s="5" t="b">
        <v>1</v>
      </c>
      <c r="D12" s="15" t="str">
        <f t="shared" ref="D12:D14" si="0">IF(COUNTIF($B$4:$B$7,"R")&gt;0,"",IF($H$5="Yes","Y","R"))</f>
        <v>R</v>
      </c>
      <c r="G12" s="9" t="s">
        <v>12</v>
      </c>
      <c r="H12" s="28"/>
    </row>
    <row r="13" spans="2:10" x14ac:dyDescent="0.3">
      <c r="B13" s="5" t="str">
        <f>IF(OR(Home!$D$8="",Home!$D$8="Yes"),"",IF(H13="",HLOOKUP(Home!$D$8,FRGN!$D$2:$F$72,ROW(A12),FALSE),IF(C13=FALSE,"C")))</f>
        <v/>
      </c>
      <c r="C13" s="5" t="b">
        <f>ISNUMBER(H13+0)</f>
        <v>1</v>
      </c>
      <c r="D13" s="15" t="str">
        <f t="shared" si="0"/>
        <v>R</v>
      </c>
      <c r="G13" s="9" t="s">
        <v>13</v>
      </c>
      <c r="H13" s="28"/>
    </row>
    <row r="14" spans="2:10" x14ac:dyDescent="0.3">
      <c r="B14" s="5" t="str">
        <f>IF(OR(Home!$D$8="",Home!$D$8="Yes"),"",IF(H14="",HLOOKUP(Home!$D$8,FRGN!$D$2:$F$72,ROW(A13),FALSE),IF(C14=FALSE,"C")))</f>
        <v/>
      </c>
      <c r="C14" s="5" t="b">
        <f>IF(H14="",TRUE,ISNUMBER(FIND("@",H14,1)+FIND(".",H14,1)))</f>
        <v>1</v>
      </c>
      <c r="D14" s="15" t="str">
        <f t="shared" si="0"/>
        <v>R</v>
      </c>
      <c r="G14" s="9" t="s">
        <v>14</v>
      </c>
      <c r="H14" s="29"/>
    </row>
    <row r="15" spans="2:10" x14ac:dyDescent="0.3">
      <c r="B15" s="5" t="str">
        <f>IF(OR(Home!$D$8="",Home!$D$8="Yes"),"",IF(H15="",HLOOKUP(Home!$D$8,FRGN!$D$2:$F$72,ROW(A14),FALSE),IF(C15=FALSE,"C")))</f>
        <v/>
      </c>
      <c r="C15" s="5" t="b">
        <v>1</v>
      </c>
      <c r="D15" s="15" t="str">
        <f>IF(COUNTIF($B$4:$B$7,"R")&gt;0,"",IF($H$5="Yes","Y",IF(Home!D7="Company","R","Y")))</f>
        <v>Y</v>
      </c>
      <c r="G15" s="9" t="str">
        <f>IF(Home!D7="Company","Select the classification that best describes your organization:","")</f>
        <v/>
      </c>
      <c r="H15" s="28"/>
    </row>
    <row r="16" spans="2:10" ht="61.5" customHeight="1" x14ac:dyDescent="0.3">
      <c r="B16" s="5" t="str">
        <f>IF(OR(Home!$D$8="",Home!$D$8="Yes"),"",IF(H16="",HLOOKUP(Home!$D$8,FRGN!$D$2:$F$72,ROW(A15),FALSE),IF(C16=FALSE,"C")))</f>
        <v/>
      </c>
      <c r="C16" s="5" t="b">
        <f>IF(H16="No",FALSE,TRUE)</f>
        <v>1</v>
      </c>
      <c r="D16" s="15" t="str">
        <f>IF(COUNTIF($B$4:$B$7,"R")&gt;0,"",IF($H$5="Yes","Y",IF(OR(G15="",H15&lt;&gt;""),"R","Y")))</f>
        <v>R</v>
      </c>
      <c r="G16" s="31" t="str">
        <f>IF(Home!D7&lt;&gt;"Company",HYPERLINK("https://finance.emory.edu/home/accounting/forms/index.html","A W-8 form is required to be completed. Based on classification above it is recommended that you complete the W-8BEN Certificate of Foreign Status. Click Here to Access the form. Please indicate a W-8 form has been completed:"),IF(H15="Foreign Company and a Financial Institution (FFI)",HYPERLINK("https://finance.emory.edu/home/accounting/forms/index.html","A W-8 form is required to be completed. Based on classification above it is recommended that you complete the W-8BEN-E Long Form. Click Here to Access the form. Please indicate a W-8 form has been completed:"),IF(H15="Foreign Company and not a Financial Institution",HYPERLINK("https://finance.emory.edu/home/accounting/forms/index.html","A W-8 form is required to be completed. Based on classification above it is recommended that you complete the W-8BEN-E Short Form. Click Here to Access the form. Please indicate a W-8 form has been completed:"),"")))</f>
        <v>A W-8 form is required to be completed. Based on classification above it is recommended that you complete the W-8BEN Certificate of Foreign Status. Click Here to Access the form. Please indicate a W-8 form has been completed:</v>
      </c>
      <c r="H16" s="28"/>
    </row>
    <row r="17" spans="2:8" x14ac:dyDescent="0.3">
      <c r="B17" s="5" t="str">
        <f>IF(OR(Home!$D$8="",Home!$D$8="Yes"),"",IF(H17="",HLOOKUP(Home!$D$8,FRGN!$D$2:$F$72,ROW(A16),FALSE),IF(C17=FALSE,"C")))</f>
        <v/>
      </c>
      <c r="C17" s="5" t="b">
        <f>OR(ISNUMBER(H17+0),$H$17="No DUNS #")</f>
        <v>1</v>
      </c>
      <c r="D17" s="15" t="str">
        <f>IF(COUNTIF($B$4:$B$7,"R")&gt;0,"",IF(OR($H$5="Yes",$H$15="",Home!D7&lt;&gt;"Company"),"Y","R"))</f>
        <v>Y</v>
      </c>
      <c r="G17" s="9" t="str">
        <f>IF(OR($H$15="",Home!D7&lt;&gt;"Company"),"","DUNS Number")</f>
        <v/>
      </c>
      <c r="H17" s="28"/>
    </row>
    <row r="18" spans="2:8" ht="54" customHeight="1" x14ac:dyDescent="0.3">
      <c r="B18" s="5" t="str">
        <f>IF(OR(Home!$D$8="",Home!$D$8="Yes"),"",IF(H18="",HLOOKUP(Home!$D$8,FRGN!$D$2:$F$72,ROW(A17),FALSE),IF(C18=FALSE,"C")))</f>
        <v/>
      </c>
      <c r="C18" s="5" t="b">
        <v>1</v>
      </c>
      <c r="D18" s="15" t="str">
        <f>IF(COUNTIF($B$4:$B$7,"R")&gt;0,"",IF(OR($H$5="Yes",$H$15="",ISNUMBER(H17+0),Home!D7&lt;&gt;"Company"),"Y","R"))</f>
        <v>Y</v>
      </c>
      <c r="G18" s="9" t="str">
        <f>IF(OR($H$15="",Home!D7&lt;&gt;"Company",$H$17="",ISNUMBER($H$17+0)),"","Please explain why a DUNS # cannot be obtain:")</f>
        <v/>
      </c>
      <c r="H18" s="28"/>
    </row>
    <row r="19" spans="2:8" x14ac:dyDescent="0.3">
      <c r="B19" s="5" t="str">
        <f>IF(OR(Home!$D$8="",Home!$D$8="Yes"),"",IF(H19="",HLOOKUP(Home!$D$8,FRGN!$D$2:$F$72,ROW(A18),FALSE),IF(C19=FALSE,"C")))</f>
        <v/>
      </c>
      <c r="C19" s="5" t="b">
        <v>1</v>
      </c>
      <c r="D19" s="15" t="str">
        <f>IF(COUNTIF($B$4:$B$7,"R")&gt;0,"",IF($H$5="Yes","Y","R"))</f>
        <v>R</v>
      </c>
      <c r="G19" s="9" t="s">
        <v>15</v>
      </c>
      <c r="H19" s="28"/>
    </row>
    <row r="20" spans="2:8" ht="33" customHeight="1" x14ac:dyDescent="0.3">
      <c r="B20" s="5" t="str">
        <f>IF(OR(Home!$D$8="",Home!$D$8="Yes"),"",IF(H20="",HLOOKUP(Home!$D$8,FRGN!$D$2:$F$72,ROW(A19),FALSE),IF(C20=FALSE,"C")))</f>
        <v/>
      </c>
      <c r="C20" s="5" t="b">
        <v>1</v>
      </c>
      <c r="D20" s="15" t="str">
        <f>IF(COUNTIF($B$4:$B$7,"R")&gt;0,"",IF($H$5="Yes","Y",IF($H$19="Yes","R","Y")))</f>
        <v>Y</v>
      </c>
      <c r="G20" s="9" t="str">
        <f>IF(OR(H19="",H19="No"),"","Will you be filing a Canadian tax return as a Canadian tax resident and reporting the payment from Emory as income?")</f>
        <v/>
      </c>
      <c r="H20" s="28"/>
    </row>
    <row r="21" spans="2:8" x14ac:dyDescent="0.3">
      <c r="B21" s="5" t="str">
        <f>IF(OR(Home!$D$8="",Home!$D$8="Yes"),"",IF(H21="",HLOOKUP(Home!$D$8,FRGN!$D$2:$F$72,ROW(A20),FALSE),IF(C21=FALSE,"C")))</f>
        <v/>
      </c>
      <c r="C21" s="5" t="b">
        <v>1</v>
      </c>
      <c r="D21" s="15" t="str">
        <f>IF(COUNTIF($B$4:$B$7,"R")&gt;0,"",IF($H$5="Yes","Y",IF($H$19="Yes","R","Y")))</f>
        <v>Y</v>
      </c>
      <c r="G21" s="9" t="str">
        <f>IF(OR($H$19="",$H$19="No"),"",IF(Home!D7&lt;&gt;"Company","Canadian Social Insurance Number:","Recipient's Account Number:"))</f>
        <v/>
      </c>
      <c r="H21" s="28"/>
    </row>
    <row r="22" spans="2:8" ht="60.75" customHeight="1" x14ac:dyDescent="0.3">
      <c r="B22" s="5" t="str">
        <f>IF(OR(Home!$D$8="",Home!$D$8="Yes"),"",IF(H22="",HLOOKUP(Home!$D$8,FRGN!$D$2:$F$72,ROW(A21),FALSE),IF(C22=FALSE,"C")))</f>
        <v/>
      </c>
      <c r="C22" s="5" t="b">
        <v>1</v>
      </c>
      <c r="D22" s="15" t="str">
        <f>IF(COUNTIF($B$4:$B$7,"R")&gt;0,"",IF($H$5="Yes","Y","R"))</f>
        <v>R</v>
      </c>
      <c r="G22" s="9" t="s">
        <v>16</v>
      </c>
      <c r="H22" s="28"/>
    </row>
    <row r="23" spans="2:8" ht="43.2" x14ac:dyDescent="0.3">
      <c r="B23" s="5" t="str">
        <f>IF(OR(Home!$D$8="",Home!$D$8="Yes"),"",IF(H23="",HLOOKUP(Home!$D$8,FRGN!$D$2:$F$72,ROW(A22),FALSE),IF(C23=FALSE,"C")))</f>
        <v/>
      </c>
      <c r="C23" s="5" t="b">
        <v>1</v>
      </c>
      <c r="D23" s="15" t="str">
        <f>IF(COUNTIF($B$4:$B$7,"R")&gt;0,"",IF($H$5="Yes","Y","R"))</f>
        <v>R</v>
      </c>
      <c r="G23" s="9" t="s">
        <v>17</v>
      </c>
      <c r="H23" s="28"/>
    </row>
    <row r="24" spans="2:8" ht="53.25" customHeight="1" x14ac:dyDescent="0.3">
      <c r="B24" s="5" t="str">
        <f>IF(OR(Home!$D$8="",Home!$D$8="Yes"),"",IF(H24="",HLOOKUP(Home!$D$8,FRGN!$D$2:$F$72,ROW(A23),FALSE),IF(C24=FALSE,"C")))</f>
        <v/>
      </c>
      <c r="C24" s="5" t="b">
        <v>1</v>
      </c>
      <c r="D24" s="15" t="str">
        <f>IF(COUNTIF($B$4:$B$7,"R")&gt;0,"",IF($H$5="Yes","Y",IF($H$23="No","R","Y")))</f>
        <v>Y</v>
      </c>
      <c r="G24" s="9" t="str">
        <f>IF(OR($H$23="Yes",$H$23=""),"","Please indicate if any services performed for Emory University were performed entirely outside of the United States, entirely inside of the United States, or partly outside and inside of the United States:")</f>
        <v/>
      </c>
      <c r="H24" s="28"/>
    </row>
    <row r="25" spans="2:8" ht="39" customHeight="1" x14ac:dyDescent="0.3">
      <c r="B25" s="5" t="str">
        <f>IF(OR(Home!$D$8="",Home!$D$8="Yes"),"",IF(H25="",HLOOKUP(Home!$D$8,FRGN!$D$2:$F$72,ROW(A24),FALSE),IF(C25=FALSE,"C")))</f>
        <v/>
      </c>
      <c r="C25" s="5" t="b">
        <v>1</v>
      </c>
      <c r="D25" s="15" t="str">
        <f>IF(COUNTIF($B$4:$B$7,"R")&gt;0,"",IF($H$5="Yes","Y",IF($H$23="No","R","Y")))</f>
        <v>Y</v>
      </c>
      <c r="G25" s="9" t="str">
        <f>IF(OR($H$23="Yes",$H$23=""),"","Please list the countries where services were performed:")</f>
        <v/>
      </c>
      <c r="H25" s="28"/>
    </row>
    <row r="26" spans="2:8" x14ac:dyDescent="0.3">
      <c r="B26" s="5" t="str">
        <f>IF(OR(Home!$D$8="",Home!$D$8="Yes"),"",IF(H26="",HLOOKUP(Home!$D$8,FRGN!$D$2:$F$72,ROW(A25),FALSE),IF(C26=FALSE,"C")))</f>
        <v/>
      </c>
      <c r="C26" s="5" t="b">
        <v>1</v>
      </c>
      <c r="D26" s="15" t="str">
        <f>IF(COUNTIF($B$4:$B$7,"R")&gt;0,"",IF($H$5="Yes","Y",IF($H$23="No","R","Y")))</f>
        <v>Y</v>
      </c>
      <c r="G26" s="9" t="str">
        <f>IF(OR($H$23="Yes",$H$23=""),"","Please indicate the starting date of when the services were performed:")</f>
        <v/>
      </c>
      <c r="H26" s="30"/>
    </row>
    <row r="27" spans="2:8" x14ac:dyDescent="0.3">
      <c r="B27" s="5" t="str">
        <f>IF(OR(Home!$D$8="",Home!$D$8="Yes"),"",IF(H27="",HLOOKUP(Home!$D$8,FRGN!$D$2:$F$72,ROW(A26),FALSE),IF(C27=FALSE,"C")))</f>
        <v/>
      </c>
      <c r="C27" s="5" t="b">
        <v>1</v>
      </c>
      <c r="D27" s="15" t="str">
        <f>IF(COUNTIF($B$4:$B$7,"R")&gt;0,"",IF($H$5="Yes","Y",IF($H$23="No","R","Y")))</f>
        <v>Y</v>
      </c>
      <c r="G27" s="9" t="str">
        <f>IF(OR($H$23="Yes",$H$23=""),"","Please indicate the ending date of when the services were performed:")</f>
        <v/>
      </c>
      <c r="H27" s="30"/>
    </row>
    <row r="28" spans="2:8" ht="23.25" customHeight="1" x14ac:dyDescent="0.3">
      <c r="B28" s="5" t="str">
        <f>IF(OR(Home!$D$8="",Home!$D$8="Yes"),"",IF(H28="",HLOOKUP(Home!$D$8,FRGN!$D$2:$F$72,ROW(A27),FALSE),IF(C28=FALSE,"C")))</f>
        <v/>
      </c>
      <c r="C28" s="5" t="b">
        <v>1</v>
      </c>
      <c r="D28" s="15" t="str">
        <f>IF(COUNTIF($B$4:$B$7,"R")&gt;0,"","Y")</f>
        <v>Y</v>
      </c>
      <c r="G28" s="48" t="s">
        <v>18</v>
      </c>
      <c r="H28" s="53"/>
    </row>
    <row r="29" spans="2:8" x14ac:dyDescent="0.3">
      <c r="B29" s="5" t="str">
        <f>IF(OR(Home!$D$8="",Home!$D$8="Yes"),"",IF(H29="",HLOOKUP(Home!$D$8,FRGN!$D$2:$F$72,ROW(A28),FALSE),IF(C29=FALSE,"C")))</f>
        <v/>
      </c>
      <c r="C29" s="5" t="b">
        <v>1</v>
      </c>
      <c r="D29" s="15" t="str">
        <f>IF(COUNTIF($B$4:$B$7,"R")&gt;0,"",IF($H$5="Yes","Y","R"))</f>
        <v>R</v>
      </c>
      <c r="G29" s="9" t="s">
        <v>19</v>
      </c>
      <c r="H29" s="28"/>
    </row>
    <row r="30" spans="2:8" x14ac:dyDescent="0.3">
      <c r="B30" s="5" t="str">
        <f>IF(OR(Home!$D$8="",Home!$D$8="Yes"),"",IF(H30="",HLOOKUP(Home!$D$8,FRGN!$D$2:$F$72,ROW(A29),FALSE),IF(C30=FALSE,"C")))</f>
        <v/>
      </c>
      <c r="C30" s="5" t="b">
        <v>1</v>
      </c>
      <c r="D30" s="15" t="str">
        <f>IF(COUNTIF($B$4:$B$7,"R")&gt;0,"","Y")</f>
        <v>Y</v>
      </c>
      <c r="G30" s="9" t="s">
        <v>20</v>
      </c>
      <c r="H30" s="28"/>
    </row>
    <row r="31" spans="2:8" x14ac:dyDescent="0.3">
      <c r="B31" s="5" t="str">
        <f>IF(OR(Home!$D$8="",Home!$D$8="Yes"),"",IF(H31="",HLOOKUP(Home!$D$8,FRGN!$D$2:$F$72,ROW(A30),FALSE),IF(C31=FALSE,"C")))</f>
        <v/>
      </c>
      <c r="C31" s="5" t="b">
        <v>1</v>
      </c>
      <c r="D31" s="15" t="str">
        <f>IF(COUNTIF($B$4:$B$7,"R")&gt;0,"","Y")</f>
        <v>Y</v>
      </c>
      <c r="G31" s="9" t="s">
        <v>21</v>
      </c>
      <c r="H31" s="28"/>
    </row>
    <row r="32" spans="2:8" ht="23.25" customHeight="1" x14ac:dyDescent="0.3">
      <c r="B32" s="5" t="str">
        <f>IF(OR(Home!$D$8="",Home!$D$8="Yes"),"",IF(H32="",HLOOKUP(Home!$D$8,FRGN!$D$2:$F$72,ROW(A31),FALSE),IF(C32=FALSE,"C")))</f>
        <v/>
      </c>
      <c r="C32" s="5" t="b">
        <v>1</v>
      </c>
      <c r="D32" s="15" t="str">
        <f>IF(COUNTIF($B$4:$B$7,"R")&gt;0,"","Y")</f>
        <v>Y</v>
      </c>
      <c r="G32" s="48" t="s">
        <v>22</v>
      </c>
      <c r="H32" s="53"/>
    </row>
    <row r="33" spans="2:8" x14ac:dyDescent="0.3">
      <c r="B33" s="5" t="str">
        <f>IF(OR(Home!$D$8="",Home!$D$8="Yes"),"",IF(H33="",HLOOKUP(Home!$D$8,FRGN!$D$2:$F$72,ROW(A32),FALSE),IF(C33=FALSE,"C")))</f>
        <v/>
      </c>
      <c r="C33" s="5" t="b">
        <v>1</v>
      </c>
      <c r="D33" s="15" t="str">
        <f>IF(COUNTIF($B$4:$B$7,"R")&gt;0,"",IF(OR($H$5="Yes",$H$15="",Home!D7&lt;&gt;"Company"),"Y","R"))</f>
        <v>Y</v>
      </c>
      <c r="G33" s="9" t="str">
        <f>IF(Home!D7="Company","Method to Receive Orders:","")</f>
        <v/>
      </c>
      <c r="H33" s="28"/>
    </row>
    <row r="34" spans="2:8" x14ac:dyDescent="0.3">
      <c r="B34" s="5" t="str">
        <f>IF(OR(Home!$D$8="",Home!$D$8="Yes"),"",IF(H34="",HLOOKUP(Home!$D$8,FRGN!$D$2:$F$72,ROW(A33),FALSE),IF(C34=FALSE,"C")))</f>
        <v/>
      </c>
      <c r="C34" s="5" t="b">
        <f>IF(H34="",TRUE,ISNUMBER(FIND("@",H34,1)+FIND(".",H34,1)))</f>
        <v>1</v>
      </c>
      <c r="D34" s="15" t="str">
        <f>IF(COUNTIF($B$4:$B$7,"R")&gt;0,"",IF(OR($H$5="Yes",$H$33="",$H$33="Fax"),"Y","R"))</f>
        <v>Y</v>
      </c>
      <c r="G34" s="9" t="str">
        <f>IF(Home!D7="Company","Email for Receiving Orders:","")</f>
        <v/>
      </c>
      <c r="H34" s="28"/>
    </row>
    <row r="35" spans="2:8" x14ac:dyDescent="0.3">
      <c r="B35" s="5" t="str">
        <f>IF(OR(Home!$D$8="",Home!$D$8="Yes"),"",IF(H35="",HLOOKUP(Home!$D$8,FRGN!$D$2:$F$72,ROW(A34),FALSE),IF(C35=FALSE,"C")))</f>
        <v/>
      </c>
      <c r="C35" s="5" t="b">
        <v>1</v>
      </c>
      <c r="D35" s="15" t="str">
        <f>IF(COUNTIF($B$4:$B$7,"R")&gt;0,"",IF(OR($H$5="Yes",$H$15="",$H$15="Foreign Individual or Study Participant"),"Y","R"))</f>
        <v>Y</v>
      </c>
      <c r="G35" s="9" t="str">
        <f>IF(Home!D7="Company","Address Line 1:","")</f>
        <v/>
      </c>
      <c r="H35" s="28"/>
    </row>
    <row r="36" spans="2:8" x14ac:dyDescent="0.3">
      <c r="B36" s="5" t="str">
        <f>IF(OR(Home!$D$8="",Home!$D$8="Yes"),"",IF(H36="",HLOOKUP(Home!$D$8,FRGN!$D$2:$F$72,ROW(A35),FALSE),IF(C36=FALSE,"C")))</f>
        <v/>
      </c>
      <c r="C36" s="5" t="b">
        <v>1</v>
      </c>
      <c r="D36" s="15" t="str">
        <f>IF(COUNTIF($B$4:$B$7,"R")&gt;0,"","Y")</f>
        <v>Y</v>
      </c>
      <c r="G36" s="9" t="str">
        <f>IF(Home!D7="Company","Address Line 2:","")</f>
        <v/>
      </c>
      <c r="H36" s="28"/>
    </row>
    <row r="37" spans="2:8" x14ac:dyDescent="0.3">
      <c r="B37" s="5" t="str">
        <f>IF(OR(Home!$D$8="",Home!$D$8="Yes"),"",IF(H37="",HLOOKUP(Home!$D$8,FRGN!$D$2:$F$72,ROW(A36),FALSE),IF(C37=FALSE,"C")))</f>
        <v/>
      </c>
      <c r="C37" s="5" t="b">
        <v>1</v>
      </c>
      <c r="D37" s="15" t="str">
        <f>IF(COUNTIF($B$4:$B$7,"R")&gt;0,"","Y")</f>
        <v>Y</v>
      </c>
      <c r="G37" s="9" t="str">
        <f>IF(Home!D7="Company","Address Line 3:","")</f>
        <v/>
      </c>
      <c r="H37" s="28"/>
    </row>
    <row r="38" spans="2:8" ht="23.25" customHeight="1" x14ac:dyDescent="0.3">
      <c r="B38" s="5" t="str">
        <f>IF(OR(Home!$D$8="",Home!$D$8="Yes"),"",IF(H38="",HLOOKUP(Home!$D$8,FRGN!$D$2:$F$72,ROW(A37),FALSE),IF(C38=FALSE,"C")))</f>
        <v/>
      </c>
      <c r="C38" s="5" t="b">
        <v>1</v>
      </c>
      <c r="D38" s="15" t="str">
        <f>IF(COUNTIF($B$4:$B$7,"R")&gt;0,"","Y")</f>
        <v>Y</v>
      </c>
      <c r="G38" s="48" t="s">
        <v>23</v>
      </c>
      <c r="H38" s="53"/>
    </row>
    <row r="39" spans="2:8" ht="43.2" x14ac:dyDescent="0.3">
      <c r="B39" s="5" t="str">
        <f>IF(OR(Home!$D$8="",Home!$D$8="Yes"),"",IF(H39="",HLOOKUP(Home!$D$8,FRGN!$D$2:$F$72,ROW(A38),FALSE),IF(C39=FALSE,"C")))</f>
        <v/>
      </c>
      <c r="C39" s="5" t="b">
        <v>1</v>
      </c>
      <c r="D39" s="15" t="str">
        <f>IF(COUNTIF($B$4:$B$7,"R")&gt;0,"",IF($H$5="Yes","Y","R"))</f>
        <v>R</v>
      </c>
      <c r="G39" s="9" t="s">
        <v>24</v>
      </c>
      <c r="H39" s="28"/>
    </row>
    <row r="40" spans="2:8" x14ac:dyDescent="0.3">
      <c r="B40" s="5" t="str">
        <f>IF(OR(Home!$D$8="",Home!$D$8="Yes"),"",IF(H40="",HLOOKUP(Home!$D$8,FRGN!$D$2:$F$72,ROW(A39),FALSE),IF(C40=FALSE,"C")))</f>
        <v/>
      </c>
      <c r="C40" s="5" t="b">
        <v>1</v>
      </c>
      <c r="D40" s="15" t="str">
        <f>IF(COUNTIF($B$4:$B$7,"R")&gt;0,"",IF(OR($H$5="Yes",Home!D7&lt;&gt;"Company"),"Y","R"))</f>
        <v>Y</v>
      </c>
      <c r="E40" s="13"/>
      <c r="F40" s="15"/>
      <c r="G40" s="9" t="str">
        <f>IF(Home!D7="Company",CONCATENATE("Emory highly encourages that your company be registered with The System for Award Management (SAM) because not doing so can preclude you as a supplier for contracts that Emory has with the U.S. government."," For additional information and to register, please visit https://www.sam.gov/"),"")</f>
        <v/>
      </c>
      <c r="H40" s="25"/>
    </row>
    <row r="41" spans="2:8" ht="125.25" customHeight="1" x14ac:dyDescent="0.3">
      <c r="B41" s="5" t="str">
        <f>IF(OR(Home!$D$8="",Home!$D$8="Yes"),"",IF(H41="",HLOOKUP(Home!$D$8,FRGN!$D$2:$F$72,ROW(A40),FALSE),IF(C41=FALSE,"C")))</f>
        <v/>
      </c>
      <c r="C41" s="5" t="b">
        <v>1</v>
      </c>
      <c r="D41" s="15" t="str">
        <f>IF(COUNTIF($B$4:$B$7,"R")&gt;0,"",IF($H$5="Yes","Y","R"))</f>
        <v>R</v>
      </c>
      <c r="G41" s="9"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41" s="33"/>
    </row>
    <row r="42" spans="2:8" ht="19.5" customHeight="1" x14ac:dyDescent="0.3">
      <c r="B42" s="5" t="str">
        <f>IF(OR(Home!$D$8="",Home!$D$8="Yes"),"",IF(H42="",HLOOKUP(Home!$D$8,FRGN!$D$2:$F$72,ROW(A41),FALSE),IF(C42=FALSE,"C")))</f>
        <v/>
      </c>
      <c r="C42" s="5" t="b">
        <v>1</v>
      </c>
      <c r="D42" s="15" t="str">
        <f>IF(COUNTIF($B$4:$B$7,"R")&gt;0,"",IF($H$5="Yes","Y","R"))</f>
        <v>R</v>
      </c>
      <c r="G42" s="9" t="s">
        <v>25</v>
      </c>
      <c r="H42" s="30"/>
    </row>
    <row r="43" spans="2:8" ht="18" x14ac:dyDescent="0.3">
      <c r="B43" s="5" t="str">
        <f>IF(OR(Home!$D$8="",Home!$D$8="Yes"),"",IF(H43="",HLOOKUP(Home!$D$8,FRGN!$D$2:$F$72,ROW(A42),FALSE),IF(C43=FALSE,"C")))</f>
        <v/>
      </c>
      <c r="C43" s="5" t="b">
        <v>1</v>
      </c>
      <c r="D43" s="15" t="str">
        <f>IF(COUNTIF($B$4:$B$7,"R")&gt;0,"","Y")</f>
        <v>Y</v>
      </c>
      <c r="E43" s="15"/>
      <c r="F43" s="15"/>
      <c r="G43" s="48"/>
      <c r="H43" s="53"/>
    </row>
    <row r="44" spans="2:8" ht="25.8" x14ac:dyDescent="0.3">
      <c r="B44" s="5" t="str">
        <f>IF(OR(Home!$D$8="",Home!$D$8="Yes"),"",IF(H44="",HLOOKUP(Home!$D$8,FRGN!$D$2:$F$72,ROW(A43),FALSE),IF(C44=FALSE,"C")))</f>
        <v/>
      </c>
      <c r="C44" s="1" t="b">
        <v>1</v>
      </c>
      <c r="D44" s="15" t="str">
        <f>IF(COUNTIF($B$4:$B$7,"R")&gt;0,"",IF(OR($H$5="Yes",COUNTIF($B$4:$B$7,"R")=0),"Y",""))</f>
        <v>Y</v>
      </c>
      <c r="E44" s="16"/>
      <c r="F44" s="14"/>
      <c r="G44" s="56" t="s">
        <v>26</v>
      </c>
      <c r="H44" s="56"/>
    </row>
    <row r="45" spans="2:8" x14ac:dyDescent="0.3">
      <c r="B45" s="5" t="str">
        <f>IF(OR(Home!$D$8="",Home!$D$8="Yes"),"",IF(H45="",HLOOKUP(Home!$D$8,FRGN!$D$2:$F$72,ROW(A44),FALSE),IF(C45=FALSE,"C")))</f>
        <v/>
      </c>
      <c r="C45" s="1" t="b">
        <v>1</v>
      </c>
      <c r="D45" s="15" t="str">
        <f>IF(COUNTIF($B$4:$B$7,"R")&gt;0,"",IF(OR($H$5="Yes",COUNTIF($B$4:$B$7,"R")=0),"Y",""))</f>
        <v>Y</v>
      </c>
      <c r="E45" s="16"/>
      <c r="F45" s="14"/>
      <c r="G45" s="57" t="str">
        <f>Home!D7&amp;" Information"</f>
        <v xml:space="preserve"> Information</v>
      </c>
      <c r="H45" s="58"/>
    </row>
    <row r="46" spans="2:8" x14ac:dyDescent="0.3">
      <c r="B46" s="5" t="str">
        <f>IF(OR(Home!$D$8="",Home!$D$8="Yes"),"",IF(H46="",HLOOKUP(Home!$D$8,FRGN!$D$2:$F$72,ROW(A45),FALSE),IF(C46=FALSE,"C")))</f>
        <v/>
      </c>
      <c r="C46" s="1" t="b">
        <v>1</v>
      </c>
      <c r="D46" s="15" t="str">
        <f>IF(COUNTIF($B$4:$B$7,"R")&gt;0,"",IF(OR($H$5="Yes",COUNTIF($B$4:$B$7,"R")=0),"R",""))</f>
        <v>R</v>
      </c>
      <c r="E46" s="16"/>
      <c r="F46" s="14"/>
      <c r="G46" s="9" t="str">
        <f>Home!$D$7&amp;" Name:"</f>
        <v xml:space="preserve"> Name:</v>
      </c>
      <c r="H46" s="25"/>
    </row>
    <row r="47" spans="2:8" x14ac:dyDescent="0.3">
      <c r="B47" s="5" t="str">
        <f>IF(OR(Home!$D$8="",Home!$D$8="Yes"),"",IF(H47="",HLOOKUP(Home!$D$8,FRGN!$D$2:$F$72,ROW(A46),FALSE),IF(C47=FALSE,"C")))</f>
        <v/>
      </c>
      <c r="C47" s="1" t="b">
        <v>1</v>
      </c>
      <c r="D47" s="15" t="str">
        <f t="shared" ref="D47:D51" si="1">IF(COUNTIF($B$4:$B$7,"R")&gt;0,"",IF(OR($H$5="Yes",COUNTIF($B$4:$B$7,"R")=0),"R",""))</f>
        <v>R</v>
      </c>
      <c r="E47" s="14"/>
      <c r="F47" s="14"/>
      <c r="G47" s="9" t="s">
        <v>27</v>
      </c>
      <c r="H47" s="25"/>
    </row>
    <row r="48" spans="2:8" x14ac:dyDescent="0.3">
      <c r="B48" s="5" t="str">
        <f>IF(OR(Home!$D$8="",Home!$D$8="Yes"),"",IF(H48="",HLOOKUP(Home!$D$8,FRGN!$D$2:$F$72,ROW(A47),FALSE),IF(C48=FALSE,"C")))</f>
        <v/>
      </c>
      <c r="C48" s="1" t="b">
        <v>1</v>
      </c>
      <c r="D48" s="15" t="str">
        <f t="shared" si="1"/>
        <v>R</v>
      </c>
      <c r="E48" s="13"/>
      <c r="F48" s="13"/>
      <c r="G48" s="9" t="s">
        <v>28</v>
      </c>
      <c r="H48" s="25"/>
    </row>
    <row r="49" spans="2:8" x14ac:dyDescent="0.3">
      <c r="B49" s="5" t="str">
        <f>IF(OR(Home!$D$8="",Home!$D$8="Yes"),"",IF(H49="",HLOOKUP(Home!$D$8,FRGN!$D$2:$F$72,ROW(A48),FALSE),IF(C49=FALSE,"C")))</f>
        <v/>
      </c>
      <c r="C49" s="5" t="b">
        <v>1</v>
      </c>
      <c r="D49" s="15" t="str">
        <f t="shared" si="1"/>
        <v>R</v>
      </c>
      <c r="E49" s="16"/>
      <c r="F49" s="14"/>
      <c r="G49" s="9" t="s">
        <v>29</v>
      </c>
      <c r="H49" s="25"/>
    </row>
    <row r="50" spans="2:8" x14ac:dyDescent="0.3">
      <c r="B50" s="5" t="str">
        <f>IF(OR(Home!$D$8="",Home!$D$8="Yes"),"",IF(H50="",HLOOKUP(Home!$D$8,FRGN!$D$2:$F$72,ROW(A49),FALSE),IF(C50=FALSE,"C")))</f>
        <v/>
      </c>
      <c r="C50" s="5" t="b">
        <f>ISNUMBER(H50+0)</f>
        <v>1</v>
      </c>
      <c r="D50" s="15" t="str">
        <f t="shared" si="1"/>
        <v>R</v>
      </c>
      <c r="E50" s="16"/>
      <c r="F50" s="14"/>
      <c r="G50" s="9" t="s">
        <v>30</v>
      </c>
      <c r="H50" s="28"/>
    </row>
    <row r="51" spans="2:8" x14ac:dyDescent="0.3">
      <c r="B51" s="5" t="str">
        <f>IF(OR(Home!$D$8="",Home!$D$8="Yes"),"",IF(H51="",HLOOKUP(Home!$D$8,FRGN!$D$2:$F$72,ROW(A50),FALSE),IF(C51=FALSE,"C")))</f>
        <v/>
      </c>
      <c r="C51" s="5" t="b">
        <f>IF(H51="",TRUE,ISNUMBER(FIND("@",H51,1)+FIND(".",H51,1)))</f>
        <v>1</v>
      </c>
      <c r="D51" s="15" t="str">
        <f t="shared" si="1"/>
        <v>R</v>
      </c>
      <c r="E51" s="16"/>
      <c r="F51" s="14"/>
      <c r="G51" s="9" t="s">
        <v>31</v>
      </c>
      <c r="H51" s="26"/>
    </row>
    <row r="52" spans="2:8" x14ac:dyDescent="0.3">
      <c r="B52" s="5" t="str">
        <f>IF(OR(Home!$D$8="",Home!$D$8="Yes"),"",IF(H52="",HLOOKUP(Home!$D$8,FRGN!$D$2:$F$72,ROW(A51),FALSE),IF(C52=FALSE,"C")))</f>
        <v/>
      </c>
      <c r="C52" s="1" t="b">
        <v>1</v>
      </c>
      <c r="D52" s="15" t="str">
        <f>IF(COUNTIF($B$4:$B$7,"R")&gt;0,"",IF(OR($H$5="Yes",COUNTIF($B$4:$B$7,"R")=0),"Y",""))</f>
        <v>Y</v>
      </c>
      <c r="E52" s="16"/>
      <c r="F52" s="14"/>
      <c r="G52" s="57" t="s">
        <v>32</v>
      </c>
      <c r="H52" s="58"/>
    </row>
    <row r="53" spans="2:8" x14ac:dyDescent="0.3">
      <c r="B53" s="5" t="str">
        <f>IF(OR(Home!$D$8="",Home!$D$8="Yes"),"",IF(H53="",HLOOKUP(Home!$D$8,FRGN!$D$2:$F$72,ROW(A52),FALSE),IF(C53=FALSE,"C")))</f>
        <v/>
      </c>
      <c r="C53" s="5" t="b">
        <v>1</v>
      </c>
      <c r="D53" s="15" t="str">
        <f>IF(COUNTIF($B$4:$B$7,"R")&gt;0,"",IF(OR($H$5="Yes",COUNTIF($B$4:$B$7,"R")=0),"R",""))</f>
        <v>R</v>
      </c>
      <c r="E53" s="16"/>
      <c r="F53" s="14"/>
      <c r="G53" s="9" t="s">
        <v>33</v>
      </c>
      <c r="H53" s="25"/>
    </row>
    <row r="54" spans="2:8" x14ac:dyDescent="0.3">
      <c r="B54" s="5" t="str">
        <f>IF(OR(Home!$D$8="",Home!$D$8="Yes"),"",IF(H54="",HLOOKUP(Home!$D$8,FRGN!$D$2:$F$72,ROW(A53),FALSE),IF(C54=FALSE,"C")))</f>
        <v/>
      </c>
      <c r="C54" s="5" t="b">
        <v>1</v>
      </c>
      <c r="D54" s="15" t="str">
        <f>IF(COUNTIF($B$4:$B$7,"R")&gt;0,"",IF(OR($H$5="Yes",COUNTIF($B$4:$B$7,"R")=0),"R",""))</f>
        <v>R</v>
      </c>
      <c r="E54" s="16"/>
      <c r="F54" s="14"/>
      <c r="G54" s="9" t="s">
        <v>34</v>
      </c>
      <c r="H54" s="25"/>
    </row>
    <row r="55" spans="2:8" x14ac:dyDescent="0.3">
      <c r="B55" s="5" t="str">
        <f>IF(OR(Home!$D$8="",Home!$D$8="Yes"),"",IF(H55="",HLOOKUP(Home!$D$8,FRGN!$D$2:$F$72,ROW(A54),FALSE),IF(C55=FALSE,"C")))</f>
        <v/>
      </c>
      <c r="C55" s="5" t="b">
        <v>1</v>
      </c>
      <c r="D55" s="15" t="str">
        <f>IF(COUNTIF($B$4:$B$7,"R")&gt;0,"",IF(OR($H$5="Yes",COUNTIF($B$4:$B$7,"R")=0),"R",""))</f>
        <v>R</v>
      </c>
      <c r="E55" s="16"/>
      <c r="F55" s="14"/>
      <c r="G55" s="9" t="s">
        <v>35</v>
      </c>
      <c r="H55" s="25"/>
    </row>
    <row r="56" spans="2:8" x14ac:dyDescent="0.3">
      <c r="B56" s="5" t="str">
        <f>IF(OR(Home!$D$8="",Home!$D$8="Yes"),"",IF(H56="",HLOOKUP(Home!$D$8,FRGN!$D$2:$F$72,ROW(A55),FALSE),IF(C56=FALSE,"C")))</f>
        <v/>
      </c>
      <c r="C56" s="5" t="b">
        <f>ISNUMBER(H56+0)</f>
        <v>1</v>
      </c>
      <c r="D56" s="13" t="str">
        <f>IF(COUNTIF($B$4:$B$7,"R")&gt;0,"",IF($H$55="","Y",IF(VLOOKUP($H$55,'Drop Down'!$F$2:$G$249,2,FALSE)="Y","R","Y")))</f>
        <v>Y</v>
      </c>
      <c r="E56" s="16"/>
      <c r="F56" s="14"/>
      <c r="G56" s="9" t="s">
        <v>36</v>
      </c>
      <c r="H56" s="25"/>
    </row>
    <row r="57" spans="2:8" x14ac:dyDescent="0.3">
      <c r="B57" s="5" t="str">
        <f>IF(OR(Home!$D$8="",Home!$D$8="Yes"),"",IF(H57="",HLOOKUP(Home!$D$8,FRGN!$D$2:$F$72,ROW(A56),FALSE),IF(C57=FALSE,"C")))</f>
        <v/>
      </c>
      <c r="C57" s="5" t="b">
        <v>1</v>
      </c>
      <c r="D57" s="13" t="str">
        <f>IF(COUNTIF($B$4:$B$7,"R")&gt;0,"",IF($H$55="","Y",IF(AND(VLOOKUP($H$55,'Drop Down'!$F$2:$G$249,2,FALSE)&lt;&gt;"Y",H55&lt;&gt;""),"R","Y")))</f>
        <v>Y</v>
      </c>
      <c r="E57" s="16"/>
      <c r="F57" s="14"/>
      <c r="G57" s="9" t="s">
        <v>37</v>
      </c>
      <c r="H57" s="25"/>
    </row>
    <row r="58" spans="2:8" x14ac:dyDescent="0.3">
      <c r="B58" s="5" t="str">
        <f>IF(OR(Home!$D$8="",Home!$D$8="Yes"),"",IF(H58="",HLOOKUP(Home!$D$8,FRGN!$D$2:$F$72,ROW(A57),FALSE),IF(C58=FALSE,"C")))</f>
        <v/>
      </c>
      <c r="C58" s="5" t="b">
        <v>1</v>
      </c>
      <c r="D58" s="15" t="str">
        <f>IF(COUNTIF($B$4:$B$7,"R")&gt;0,"",IF(OR($H$5="Yes",COUNTIF($B$4:$B$7,"R")=0),"R",""))</f>
        <v>R</v>
      </c>
      <c r="E58" s="16"/>
      <c r="F58" s="14"/>
      <c r="G58" s="9" t="s">
        <v>38</v>
      </c>
      <c r="H58" s="25"/>
    </row>
    <row r="59" spans="2:8" ht="49.5" customHeight="1" x14ac:dyDescent="0.3">
      <c r="B59" s="5" t="str">
        <f>IF(OR(Home!$D$8="",Home!$D$8="Yes"),"",IF(H59="",HLOOKUP(Home!$D$8,FRGN!$D$2:$F$72,ROW(A58),FALSE),IF(C59=FALSE,"C")))</f>
        <v/>
      </c>
      <c r="C59" s="5" t="b">
        <f>IF(ISERROR(VLOOKUP(H55,'Drop Down'!$I$3:$K$83,2,FALSE)),TRUE,VLOOKUP(H55,'Drop Down'!$I$3:$K$83,2,FALSE)=LEN(H59))</f>
        <v>1</v>
      </c>
      <c r="D59" s="15" t="str">
        <f>IF(COUNTIF($B$4:$B$7,"R")&gt;0,"",IF(OR($H$5="Yes",COUNTIF($B$4:$B$7,"R")=0),"R",""))</f>
        <v>R</v>
      </c>
      <c r="E59" s="16"/>
      <c r="F59" s="14"/>
      <c r="G59" s="9" t="str">
        <f>IF(ISERROR(VLOOKUP(H55,'Drop Down'!$I$3:$K$83,1,FALSE)),"Bank Account Number:","International Bank Account Number (IBAN):"&amp;CHAR(10)&amp;VLOOKUP(H55,'Drop Down'!$I$3:$L$83,4,FALSE))</f>
        <v>Bank Account Number:</v>
      </c>
      <c r="H59" s="25"/>
    </row>
    <row r="60" spans="2:8" ht="28.8" x14ac:dyDescent="0.3">
      <c r="B60" s="5" t="str">
        <f>IF(OR(Home!$D$8="",Home!$D$8="Yes"),"",IF(H60="",HLOOKUP(Home!$D$8,FRGN!$D$2:$F$72,ROW(A59),FALSE),IF(C60=FALSE,"C")))</f>
        <v/>
      </c>
      <c r="C60" s="5" t="b">
        <f>IF(ISERROR(VLOOKUP(H56,'Drop Down'!$I$3:$K$83,2,FALSE)),TRUE,VLOOKUP(H56,'Drop Down'!$I$3:$K$83,2,FALSE)=LEN(H60))</f>
        <v>1</v>
      </c>
      <c r="D60" s="15" t="str">
        <f>IF(COUNTIF($B$4:$B$7,"R")&gt;0,"",IF(OR($H$5="Yes",COUNTIF($B$4:$B$7,"R")=0),"R",""))</f>
        <v>R</v>
      </c>
      <c r="E60" s="16"/>
      <c r="F60" s="14"/>
      <c r="G60" s="9" t="s">
        <v>39</v>
      </c>
      <c r="H60" s="25"/>
    </row>
    <row r="61" spans="2:8" ht="65.25" customHeight="1" x14ac:dyDescent="0.3">
      <c r="B61" s="5" t="str">
        <f>IF(OR(Home!$D$8="",Home!$D$8="Yes"),"",IF(H61="",HLOOKUP(Home!$D$8,FRGN!$D$2:$F$72,ROW(A60),FALSE),IF(C61=FALSE,"C")))</f>
        <v/>
      </c>
      <c r="C61" s="5" t="b">
        <v>1</v>
      </c>
      <c r="D61" s="13" t="str">
        <f>IF(COUNTIF($B$4:$B$7,"R")&gt;0,"",IF(ISERROR(VLOOKUP(H55,'Drop Down'!$N$2:$P$16,3,FALSE)),"Y","R"))</f>
        <v>Y</v>
      </c>
      <c r="E61" s="16"/>
      <c r="F61" s="14"/>
      <c r="G61" s="9" t="str">
        <f>"Additional Information Required:"&amp;CHAR(10)&amp;IFERROR(VLOOKUP(H55,'Drop Down'!$N$2:$P$16,3,FALSE),"")</f>
        <v xml:space="preserve">Additional Information Required:
</v>
      </c>
      <c r="H61" s="25"/>
    </row>
    <row r="62" spans="2:8" x14ac:dyDescent="0.3">
      <c r="B62" s="5" t="str">
        <f>IF(OR(Home!$D$8="",Home!$D$8="Yes"),"",IF(H62="",HLOOKUP(Home!$D$8,FRGN!$D$2:$F$72,ROW(A61),FALSE),IF(C62=FALSE,"C")))</f>
        <v/>
      </c>
      <c r="C62" s="1" t="b">
        <v>1</v>
      </c>
      <c r="D62" s="15" t="str">
        <f>IF(COUNTIF($B$4:$B$7,"R")&gt;0,"",IF(OR($H$5="Yes",COUNTIF($B$4:$B$7,"R")=0),"Y",""))</f>
        <v>Y</v>
      </c>
      <c r="E62" s="16"/>
      <c r="F62" s="14"/>
      <c r="G62" s="57" t="s">
        <v>40</v>
      </c>
      <c r="H62" s="58"/>
    </row>
    <row r="63" spans="2:8" x14ac:dyDescent="0.3">
      <c r="B63" s="5" t="str">
        <f>IF(OR(Home!$D$8="",Home!$D$8="Yes"),"",IF(H63="",HLOOKUP(Home!$D$8,FRGN!$D$2:$F$72,ROW(A62),FALSE),IF(C63=FALSE,"C")))</f>
        <v/>
      </c>
      <c r="C63" s="5" t="b">
        <v>1</v>
      </c>
      <c r="D63" s="15" t="str">
        <f>IF(COUNTIF($B$4:$B$7,"R")&gt;0,"",IF(OR($H$5="Yes",COUNTIF($B$4:$B$7,"R")=0),"R",""))</f>
        <v>R</v>
      </c>
      <c r="G63" s="9" t="s">
        <v>41</v>
      </c>
      <c r="H63" s="28"/>
    </row>
    <row r="64" spans="2:8" x14ac:dyDescent="0.3">
      <c r="B64" s="5" t="str">
        <f>IF(OR(Home!$D$8="",Home!$D$8="Yes"),"",IF(H64="",HLOOKUP(Home!$D$8,FRGN!$D$2:$F$72,ROW(A63),FALSE),IF(C64=FALSE,"C")))</f>
        <v/>
      </c>
      <c r="C64" s="1" t="b">
        <v>1</v>
      </c>
      <c r="D64" s="13" t="str">
        <f>IF(COUNTIF($B$4:$B$7,"R")&gt;0,"",IF(H63="Yes","R","Y"))</f>
        <v>Y</v>
      </c>
      <c r="E64" s="16"/>
      <c r="F64" s="14"/>
      <c r="G64" s="9" t="s">
        <v>33</v>
      </c>
      <c r="H64" s="25"/>
    </row>
    <row r="65" spans="2:8" x14ac:dyDescent="0.3">
      <c r="B65" s="5" t="str">
        <f>IF(OR(Home!$D$8="",Home!$D$8="Yes"),"",IF(H65="",HLOOKUP(Home!$D$8,FRGN!$D$2:$F$72,ROW(A64),FALSE),IF(C65=FALSE,"C")))</f>
        <v/>
      </c>
      <c r="C65" s="5" t="b">
        <f>ISNUMBER(H65+0)</f>
        <v>1</v>
      </c>
      <c r="D65" s="15" t="str">
        <f t="shared" ref="D65:D69" si="2">IF(COUNTIF($B$4:$B$7,"R")&gt;0,"",IF(OR($H$5="Yes",COUNTIF($B$4:$B$7,"R")=0),"Y",""))</f>
        <v>Y</v>
      </c>
      <c r="E65" s="16"/>
      <c r="F65" s="14"/>
      <c r="G65" s="9" t="s">
        <v>36</v>
      </c>
      <c r="H65" s="25"/>
    </row>
    <row r="66" spans="2:8" x14ac:dyDescent="0.3">
      <c r="B66" s="5" t="str">
        <f>IF(OR(Home!$D$8="",Home!$D$8="Yes"),"",IF(H66="",HLOOKUP(Home!$D$8,FRGN!$D$2:$F$72,ROW(A65),FALSE),IF(C66=FALSE,"C")))</f>
        <v/>
      </c>
      <c r="C66" s="5" t="b">
        <v>1</v>
      </c>
      <c r="D66" s="15" t="str">
        <f t="shared" si="2"/>
        <v>Y</v>
      </c>
      <c r="E66" s="16"/>
      <c r="F66" s="14"/>
      <c r="G66" s="9" t="s">
        <v>37</v>
      </c>
      <c r="H66" s="25"/>
    </row>
    <row r="67" spans="2:8" x14ac:dyDescent="0.3">
      <c r="B67" s="5" t="str">
        <f>IF(OR(Home!$D$8="",Home!$D$8="Yes"),"",IF(H67="",HLOOKUP(Home!$D$8,FRGN!$D$2:$F$72,ROW(A66),FALSE),IF(C67=FALSE,"C")))</f>
        <v/>
      </c>
      <c r="C67" s="5" t="b">
        <f>ISNUMBER(H67+0)</f>
        <v>1</v>
      </c>
      <c r="D67" s="15" t="str">
        <f t="shared" si="2"/>
        <v>Y</v>
      </c>
      <c r="E67" s="16"/>
      <c r="F67" s="14"/>
      <c r="G67" s="9" t="s">
        <v>42</v>
      </c>
      <c r="H67" s="25"/>
    </row>
    <row r="68" spans="2:8" x14ac:dyDescent="0.3">
      <c r="B68" s="5" t="str">
        <f>IF(OR(Home!$D$8="",Home!$D$8="Yes"),"",IF(H68="",HLOOKUP(Home!$D$8,FRGN!$D$2:$F$72,ROW(A67),FALSE),IF(C68=FALSE,"C")))</f>
        <v/>
      </c>
      <c r="C68" s="1" t="b">
        <v>1</v>
      </c>
      <c r="D68" s="15" t="str">
        <f t="shared" si="2"/>
        <v>Y</v>
      </c>
      <c r="E68" s="16"/>
      <c r="F68" s="14"/>
      <c r="G68" s="57" t="str">
        <f>Home!D7&amp;" Authorization for Payment"</f>
        <v xml:space="preserve"> Authorization for Payment</v>
      </c>
      <c r="H68" s="58"/>
    </row>
    <row r="69" spans="2:8" x14ac:dyDescent="0.3">
      <c r="B69" s="5" t="str">
        <f>IF(OR(Home!$D$8="",Home!$D$8="Yes"),"",IF(H69="",HLOOKUP(Home!$D$8,FRGN!$D$2:$F$72,ROW(A68),FALSE),IF(C69=FALSE,"C")))</f>
        <v/>
      </c>
      <c r="C69" s="1" t="b">
        <v>1</v>
      </c>
      <c r="D69" s="15" t="str">
        <f t="shared" si="2"/>
        <v>Y</v>
      </c>
      <c r="E69" s="16"/>
      <c r="F69" s="14"/>
      <c r="G69" s="54" t="s">
        <v>43</v>
      </c>
      <c r="H69" s="55"/>
    </row>
    <row r="70" spans="2:8" ht="125.25" customHeight="1" x14ac:dyDescent="0.3">
      <c r="B70" s="5" t="str">
        <f>IF(OR(Home!$D$8="",Home!$D$8="Yes"),"",IF(H70="",HLOOKUP(Home!$D$8,FRGN!$D$2:$F$72,ROW(A69),FALSE),IF(C70=FALSE,"C")))</f>
        <v/>
      </c>
      <c r="C70" s="1" t="b">
        <v>1</v>
      </c>
      <c r="D70" s="15" t="str">
        <f>IF(COUNTIF($B$4:$B$7,"R")&gt;0,"",IF(OR($H$5="Yes",COUNTIF($B$4:$B$7,"R")=0),"R",""))</f>
        <v>R</v>
      </c>
      <c r="E70" s="16"/>
      <c r="F70" s="14"/>
      <c r="G70" s="9"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0" s="32"/>
    </row>
    <row r="71" spans="2:8" x14ac:dyDescent="0.3">
      <c r="B71" s="5" t="str">
        <f>IF(OR(Home!$D$8="",Home!$D$8="Yes"),"",IF(H71="",HLOOKUP(Home!$D$8,FRGN!$D$2:$F$72,ROW(A70),FALSE),IF(C71=FALSE,"C")))</f>
        <v/>
      </c>
      <c r="C71" s="1" t="b">
        <v>1</v>
      </c>
      <c r="D71" s="15" t="str">
        <f t="shared" ref="D71:D72" si="3">IF(COUNTIF($B$4:$B$7,"R")&gt;0,"",IF(OR($H$5="Yes",COUNTIF($B$4:$B$7,"R")=0),"R",""))</f>
        <v>R</v>
      </c>
      <c r="E71" s="14"/>
      <c r="F71" s="14"/>
      <c r="G71" s="9" t="s">
        <v>44</v>
      </c>
      <c r="H71" s="25"/>
    </row>
    <row r="72" spans="2:8" x14ac:dyDescent="0.3">
      <c r="B72" s="5" t="str">
        <f>IF(OR(Home!$D$8="",Home!$D$8="Yes"),"",IF(H72="",HLOOKUP(Home!$D$8,FRGN!$D$2:$F$72,ROW(A71),FALSE),IF(C72=FALSE,"C")))</f>
        <v/>
      </c>
      <c r="C72" s="1" t="b">
        <v>1</v>
      </c>
      <c r="D72" s="15" t="str">
        <f t="shared" si="3"/>
        <v>R</v>
      </c>
      <c r="E72" s="16"/>
      <c r="F72" s="14"/>
      <c r="G72" s="9" t="s">
        <v>25</v>
      </c>
      <c r="H72" s="27"/>
    </row>
  </sheetData>
  <sheetProtection algorithmName="SHA-512" hashValue="wikbT+QIlL/u4mEFPY8t1ojesUwhqdhc/fODB2dQ15DPUfznu8LkNvISFm7zsMp2dttt1bOY19XSYRWote5VVg==" saltValue="xRxjwFKmgk4Og4ztsOWVlA==" spinCount="100000" sheet="1" formatRows="0" selectLockedCells="1"/>
  <autoFilter ref="B2:F72"/>
  <mergeCells count="14">
    <mergeCell ref="G69:H69"/>
    <mergeCell ref="G44:H44"/>
    <mergeCell ref="G45:H45"/>
    <mergeCell ref="G52:H52"/>
    <mergeCell ref="G62:H62"/>
    <mergeCell ref="G68:H68"/>
    <mergeCell ref="G2:H2"/>
    <mergeCell ref="G9:H9"/>
    <mergeCell ref="G28:H28"/>
    <mergeCell ref="G38:H38"/>
    <mergeCell ref="G43:H43"/>
    <mergeCell ref="G3:H3"/>
    <mergeCell ref="G8:H8"/>
    <mergeCell ref="G32:H32"/>
  </mergeCells>
  <conditionalFormatting sqref="G2:H59 G61:H72 H60">
    <cfRule type="expression" dxfId="56" priority="17">
      <formula>$B2=""</formula>
    </cfRule>
  </conditionalFormatting>
  <conditionalFormatting sqref="J2">
    <cfRule type="expression" dxfId="55" priority="121">
      <formula>$B2=""</formula>
    </cfRule>
  </conditionalFormatting>
  <conditionalFormatting sqref="G2:H2">
    <cfRule type="expression" dxfId="54" priority="135">
      <formula>LEFT($G$2,9)="Completed"</formula>
    </cfRule>
  </conditionalFormatting>
  <conditionalFormatting sqref="H4:H72">
    <cfRule type="expression" dxfId="53" priority="78">
      <formula>$B4="C"</formula>
    </cfRule>
    <cfRule type="expression" dxfId="52" priority="79">
      <formula>$B4="R"</formula>
    </cfRule>
  </conditionalFormatting>
  <conditionalFormatting sqref="G60">
    <cfRule type="expression" dxfId="51" priority="1">
      <formula>$B60=""</formula>
    </cfRule>
  </conditionalFormatting>
  <dataValidations count="11">
    <dataValidation type="list" allowBlank="1" showInputMessage="1" showErrorMessage="1" sqref="H23 H63 H39 H16 H19:H20 H4:H6">
      <formula1>"Yes,No"</formula1>
    </dataValidation>
    <dataValidation type="list" allowBlank="1" showInputMessage="1" showErrorMessage="1" sqref="H15">
      <formula1>"Foreign Company and a Financial Institution (FFI),Foreign Company and not a Financial Institution"</formula1>
    </dataValidation>
    <dataValidation type="list" allowBlank="1" showInputMessage="1" showErrorMessage="1" sqref="H24">
      <formula1>"Entirely Outside of the United States,Entirely Inside of the United States, Partly Outside and Inside of the United States"</formula1>
    </dataValidation>
    <dataValidation type="date" allowBlank="1" showInputMessage="1" showErrorMessage="1" sqref="H26:H27">
      <formula1>32874</formula1>
      <formula2>767011</formula2>
    </dataValidation>
    <dataValidation type="textLength" allowBlank="1" showInputMessage="1" showErrorMessage="1" promptTitle="Routing/ABA Number" prompt="This field requires 9 digits without any special characters." sqref="H56 H65">
      <formula1>9</formula1>
      <formula2>9</formula2>
    </dataValidation>
    <dataValidation allowBlank="1" showInputMessage="1" showErrorMessage="1" promptTitle="Bank Account Number" prompt="Double Check to ensure the bank account number is correct and fulfills the correct number of required characters if applicable." sqref="H59"/>
    <dataValidation type="list" allowBlank="1" showInputMessage="1" showErrorMessage="1" sqref="H5">
      <formula1>"New,Update"</formula1>
    </dataValidation>
    <dataValidation type="list" allowBlank="1" showInputMessage="1" showErrorMessage="1" sqref="H40">
      <formula1>"My company is already registered with SAM,My company plans to regiser with SAM,My company does not plan to regiser with SAM"</formula1>
    </dataValidation>
    <dataValidation allowBlank="1" showInputMessage="1" showErrorMessage="1" promptTitle="Phone Number" prompt="Please do not input any special characters as part of the number. Example of special character include dashes, period, parenthesis, etc." sqref="H13 H50"/>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_x000a__x000a_Input &quot;No DUNS #&quot; if cannot obtain." sqref="H17">
      <formula1>9</formula1>
      <formula2>9</formula2>
    </dataValidation>
    <dataValidation type="list" allowBlank="1" showInputMessage="1" showErrorMessage="1" sqref="H33">
      <formula1>"Email (Plain Text Format),Email (HTML Format)"</formula1>
    </dataValidation>
  </dataValidations>
  <pageMargins left="0.7" right="0.7" top="0.75" bottom="0.75" header="0.3" footer="0.3"/>
  <pageSetup scale="64" orientation="portrait" r:id="rId1"/>
  <colBreaks count="1" manualBreakCount="1">
    <brk id="8"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Down'!$F$2:$F$249</xm:f>
          </x14:formula1>
          <xm:sqref>H55 H49</xm:sqref>
        </x14:dataValidation>
        <x14:dataValidation type="list" allowBlank="1" showInputMessage="1" showErrorMessage="1">
          <x14:formula1>
            <xm:f>'Drop Down'!$U$2:$U$136</xm:f>
          </x14:formula1>
          <xm:sqref>H60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102"/>
  <sheetViews>
    <sheetView showGridLines="0" zoomScaleNormal="100" workbookViewId="0">
      <pane ySplit="2" topLeftCell="A3" activePane="bottomLeft" state="frozen"/>
      <selection pane="bottomLeft" activeCell="H4" sqref="H4"/>
    </sheetView>
  </sheetViews>
  <sheetFormatPr defaultColWidth="9.109375" defaultRowHeight="14.4" x14ac:dyDescent="0.3"/>
  <cols>
    <col min="1" max="1" width="1.109375" style="8" customWidth="1"/>
    <col min="2" max="2" width="12.5546875" style="5" hidden="1" customWidth="1"/>
    <col min="3" max="3" width="9.88671875" style="5" hidden="1" customWidth="1"/>
    <col min="4" max="4" width="9.6640625" style="5" hidden="1" customWidth="1"/>
    <col min="5" max="5" width="9.88671875" style="5" hidden="1" customWidth="1"/>
    <col min="6" max="6" width="10.5546875" style="5" hidden="1" customWidth="1"/>
    <col min="7" max="7" width="56.33203125" style="6" customWidth="1"/>
    <col min="8" max="8" width="78.109375" style="17" customWidth="1"/>
    <col min="9" max="9" width="1.33203125" style="8" customWidth="1"/>
    <col min="10" max="10" width="12" style="8" customWidth="1"/>
    <col min="11" max="16384" width="9.109375" style="8"/>
  </cols>
  <sheetData>
    <row r="1" spans="2:10" ht="15" thickBot="1" x14ac:dyDescent="0.35">
      <c r="G1" s="34" t="str">
        <f>Home!C1&amp;" ("&amp;IF(Home!D8="Yes","Domestic ","")&amp;Home!$D$7&amp;")"</f>
        <v>Supplier Information Form (SIF) Version 2.0 Effective 5-4-2021 ()</v>
      </c>
    </row>
    <row r="2" spans="2:10" ht="63" customHeight="1" thickTop="1" thickBot="1" x14ac:dyDescent="0.35">
      <c r="B2" s="5" t="str">
        <f>IF(AND(Home!$D$7="Company",Home!$D$8&lt;&gt;"No"),"Conditional Formatting","")</f>
        <v/>
      </c>
      <c r="C2" s="5" t="s">
        <v>6</v>
      </c>
      <c r="D2" s="5" t="s">
        <v>45</v>
      </c>
      <c r="E2" s="5" t="s">
        <v>46</v>
      </c>
      <c r="F2" s="5" t="s">
        <v>47</v>
      </c>
      <c r="G2" s="49" t="str">
        <f>IF(AND(COUNTIF($B$3:$B$102,"R")&gt;0,COUNTIF($B$3:$B$102,"C")&gt;0),"There are "&amp;COUNTIF($B$3:$B$102,"R")&amp;" required fields remaining highlighted in yellow with mini-dots."&amp;CHAR(10)&amp;"There are "&amp;COUNTIF($B$3:$B$102,"C")&amp;" fields that need correction highlighted in red.",IF(AND(COUNTIF($B$3:$B$102,"R")&gt;0,COUNTIF($B$3:$B$102,"C")=0),"There are "&amp;COUNTIF($B$3:$B$102,"R")&amp;" required fields remaining highlighted in yellow with mini-dots.",IF(AND(COUNTIF($B$3:$B$102,"R")=0,COUNTIF($B$3:$B$102,"C")&gt;0),"There are "&amp;COUNTIF($B$3:$B$102,"C")&amp;" fields that need correction highlighted in red.","Completed! Please submit this excel file to the Emory personnel that provided you this form.")))</f>
        <v>Completed! Please submit this excel file to the Emory personnel that provided you this form.</v>
      </c>
      <c r="H2" s="50"/>
      <c r="J2" s="11" t="str">
        <f>HYPERLINK(CONCATENATE("#Home!D8"),"Click Here to Go Back")</f>
        <v>Click Here to Go Back</v>
      </c>
    </row>
    <row r="3" spans="2:10" ht="23.25" customHeight="1" thickTop="1" x14ac:dyDescent="0.3">
      <c r="B3" s="5" t="str">
        <f>IF(OR(Home!$D$7="",Home!$D$8="No"),"",IF(ISBLANK(HLOOKUP(Home!$D$7,$D$2:$F$102,ROW(A2),FALSE)),"",IF(H3="",HLOOKUP(Home!$D$7,$D$2:$F$102,ROW(A2),FALSE),IF(C3=FALSE,"C"))))</f>
        <v/>
      </c>
      <c r="C3" s="5" t="b">
        <v>1</v>
      </c>
      <c r="D3" s="15" t="s">
        <v>8</v>
      </c>
      <c r="E3" s="15"/>
      <c r="F3" s="15"/>
      <c r="G3" s="48" t="s">
        <v>48</v>
      </c>
      <c r="H3" s="53"/>
    </row>
    <row r="4" spans="2:10" ht="28.8" x14ac:dyDescent="0.3">
      <c r="B4" s="5" t="str">
        <f>IF(OR(Home!$D$7="",Home!$D$8="No"),"",IF(ISBLANK(HLOOKUP(Home!$D$7,$D$2:$F$102,ROW(A3),FALSE)),"",IF(H4="",HLOOKUP(Home!$D$7,$D$2:$F$102,ROW(A3),FALSE),IF(C4=FALSE,"C"))))</f>
        <v/>
      </c>
      <c r="C4" s="5" t="b">
        <v>1</v>
      </c>
      <c r="D4" s="15" t="s">
        <v>9</v>
      </c>
      <c r="E4" s="15"/>
      <c r="F4" s="15"/>
      <c r="G4" s="9" t="str">
        <f>IF(Home!$D$7="Company","Is your company",IF(Home!$D$7="Individual","Are you",""))&amp;" filling out this form to update current information on file with Emory? If not sure, select 'No' from drop down box."</f>
        <v xml:space="preserve"> filling out this form to update current information on file with Emory? If not sure, select 'No' from drop down box.</v>
      </c>
      <c r="H4" s="25"/>
    </row>
    <row r="5" spans="2:10" ht="31.5" customHeight="1" x14ac:dyDescent="0.3">
      <c r="B5" s="5" t="str">
        <f>IF(OR(Home!$D$7="",Home!$D$8="No"),"",IF(ISBLANK(HLOOKUP(Home!$D$7,$D$2:$F$102,ROW(A4),FALSE)),"",IF(H5="",HLOOKUP(Home!$D$7,$D$2:$F$102,ROW(A4),FALSE),IF(C5=FALSE,"C"))))</f>
        <v/>
      </c>
      <c r="C5" s="5" t="b">
        <v>1</v>
      </c>
      <c r="D5" s="15" t="str">
        <f>IF(H4="Yes","R","Y")</f>
        <v>Y</v>
      </c>
      <c r="E5" s="15"/>
      <c r="F5" s="15"/>
      <c r="G5" s="9" t="str">
        <f>IF(H4="Yes",IF(Home!$D$7="Company","Does your company",IF(Home!$D$7="Individual","Do you",""))&amp;" only need to update the ACH/Banking information on file with Emory?","")</f>
        <v/>
      </c>
      <c r="H5" s="25"/>
    </row>
    <row r="6" spans="2:10" ht="28.8" x14ac:dyDescent="0.3">
      <c r="B6" s="5" t="str">
        <f>IF(OR(Home!$D$7="",Home!$D$8="No"),"",IF(ISBLANK(HLOOKUP(Home!$D$7,$D$2:$F$102,ROW(A5),FALSE)),"",IF(H6="",HLOOKUP(Home!$D$7,$D$2:$F$102,ROW(A5),FALSE),IF(C6=FALSE,"C"))))</f>
        <v/>
      </c>
      <c r="C6" s="5" t="b">
        <v>1</v>
      </c>
      <c r="D6" s="15" t="s">
        <v>9</v>
      </c>
      <c r="E6" s="15"/>
      <c r="F6" s="15"/>
      <c r="G6" s="9" t="s">
        <v>49</v>
      </c>
      <c r="H6" s="25"/>
    </row>
    <row r="7" spans="2:10" ht="47.25" customHeight="1" x14ac:dyDescent="0.3">
      <c r="B7" s="5" t="str">
        <f>IF(OR(Home!$D$7="",Home!$D$8="No"),"",IF(ISBLANK(HLOOKUP(Home!$D$7,$D$2:$F$102,ROW(A6),FALSE)),"",IF(H7="",HLOOKUP(Home!$D$7,$D$2:$F$102,ROW(A6),FALSE),IF(C7=FALSE,"C"))))</f>
        <v/>
      </c>
      <c r="C7" s="5" t="b">
        <v>1</v>
      </c>
      <c r="D7" s="15" t="str">
        <f>IF(H6="Yes","R","Y")</f>
        <v>Y</v>
      </c>
      <c r="E7" s="15"/>
      <c r="F7" s="15"/>
      <c r="G7" s="9" t="str">
        <f>IF(H6="Yes","Please provide a brief description of the merger, acquisition, or spinoff:","")</f>
        <v/>
      </c>
      <c r="H7" s="25"/>
    </row>
    <row r="8" spans="2:10" ht="15" customHeight="1" x14ac:dyDescent="0.3">
      <c r="B8" s="5" t="str">
        <f>IF(OR(Home!$D$7="",Home!$D$8="No"),"",IF(ISBLANK(HLOOKUP(Home!$D$7,$D$2:$F$102,ROW(A7),FALSE)),"",IF(H8="",HLOOKUP(Home!$D$7,$D$2:$F$102,ROW(A7),FALSE),IF(C8=FALSE,"C"))))</f>
        <v/>
      </c>
      <c r="C8" s="5" t="b">
        <v>1</v>
      </c>
      <c r="D8" s="15" t="s">
        <v>8</v>
      </c>
      <c r="E8" s="15"/>
      <c r="F8" s="15"/>
      <c r="G8" s="48"/>
      <c r="H8" s="53"/>
    </row>
    <row r="9" spans="2:10" ht="30.75" customHeight="1" x14ac:dyDescent="0.3">
      <c r="B9" s="5" t="str">
        <f>IF(OR(Home!$D$7="",Home!$D$8="No"),"",IF(ISBLANK(HLOOKUP(Home!$D$7,$D$2:$F$102,ROW(A8),FALSE)),"",IF(H9="",HLOOKUP(Home!$D$7,$D$2:$F$102,ROW(A8),FALSE),IF(C9=FALSE,"C"))))</f>
        <v/>
      </c>
      <c r="C9" s="5" t="b">
        <v>1</v>
      </c>
      <c r="D9" s="15" t="str">
        <f>IF(COUNTIF($B$4:$B$7,"R")&gt;0,"","Y")</f>
        <v>Y</v>
      </c>
      <c r="E9" s="15"/>
      <c r="F9" s="15"/>
      <c r="G9" s="51" t="str">
        <f>Home!D7&amp;" Name and Information"</f>
        <v xml:space="preserve"> Name and Information</v>
      </c>
      <c r="H9" s="52"/>
    </row>
    <row r="10" spans="2:10" x14ac:dyDescent="0.3">
      <c r="B10" s="5" t="str">
        <f>IF(OR(Home!$D$7="",Home!$D$8="No"),"",IF(ISBLANK(HLOOKUP(Home!$D$7,$D$2:$F$102,ROW(A9),FALSE)),"",IF(H10="",HLOOKUP(Home!$D$7,$D$2:$F$102,ROW(A9),FALSE),IF(C10=FALSE,"C"))))</f>
        <v/>
      </c>
      <c r="C10" s="5" t="b">
        <v>1</v>
      </c>
      <c r="D10" s="15" t="str">
        <f>IF(COUNTIF($B$4:$B$7,"R")&gt;0,"",IF($H$5="Yes","Y","R"))</f>
        <v>R</v>
      </c>
      <c r="E10" s="15"/>
      <c r="F10" s="15"/>
      <c r="G10" s="9" t="s">
        <v>50</v>
      </c>
      <c r="H10" s="25"/>
    </row>
    <row r="11" spans="2:10" x14ac:dyDescent="0.3">
      <c r="B11" s="5" t="str">
        <f>IF(OR(Home!$D$7="",Home!$D$8="No"),"",IF(ISBLANK(HLOOKUP(Home!$D$7,$D$2:$F$102,ROW(A10),FALSE)),"",IF(H11="",HLOOKUP(Home!$D$7,$D$2:$F$102,ROW(A10),FALSE),IF(C11=FALSE,"C"))))</f>
        <v/>
      </c>
      <c r="C11" s="5" t="b">
        <v>1</v>
      </c>
      <c r="D11" s="15" t="str">
        <f t="shared" ref="D11" si="0">IF(COUNTIF($B$4:$B$7,"R")&gt;0,"","Y")</f>
        <v>Y</v>
      </c>
      <c r="E11" s="15"/>
      <c r="F11" s="15"/>
      <c r="G11" s="9" t="s">
        <v>51</v>
      </c>
      <c r="H11" s="25"/>
    </row>
    <row r="12" spans="2:10" x14ac:dyDescent="0.3">
      <c r="B12" s="5" t="str">
        <f>IF(OR(Home!$D$7="",Home!$D$8="No"),"",IF(ISBLANK(HLOOKUP(Home!$D$7,$D$2:$F$102,ROW(A11),FALSE)),"",IF(H12="",HLOOKUP(Home!$D$7,$D$2:$F$102,ROW(A11),FALSE),IF(C12=FALSE,"C"))))</f>
        <v/>
      </c>
      <c r="C12" s="5" t="b">
        <f>ISNUMBER(H12+0)</f>
        <v>1</v>
      </c>
      <c r="D12" s="15" t="str">
        <f>IF(COUNTIF($B$4:$B$7,"R")&gt;0,"",IF($H$5="Yes","Y","R"))</f>
        <v>R</v>
      </c>
      <c r="E12" s="13"/>
      <c r="F12" s="15"/>
      <c r="G12" s="9" t="s">
        <v>52</v>
      </c>
      <c r="H12" s="25"/>
    </row>
    <row r="13" spans="2:10" x14ac:dyDescent="0.3">
      <c r="B13" s="5" t="str">
        <f>IF(OR(Home!$D$7="",Home!$D$8="No"),"",IF(ISBLANK(HLOOKUP(Home!$D$7,$D$2:$F$102,ROW(A12),FALSE)),"",IF(H13="",HLOOKUP(Home!$D$7,$D$2:$F$102,ROW(A12),FALSE),IF(C13=FALSE,"C"))))</f>
        <v/>
      </c>
      <c r="C13" s="5" t="b">
        <v>1</v>
      </c>
      <c r="D13" s="15" t="str">
        <f t="shared" ref="D13:D18" si="1">IF(COUNTIF($B$4:$B$7,"R")&gt;0,"",IF($H$5="Yes","Y","R"))</f>
        <v>R</v>
      </c>
      <c r="E13" s="15"/>
      <c r="F13" s="15"/>
      <c r="G13" s="9" t="s">
        <v>12</v>
      </c>
      <c r="H13" s="25"/>
    </row>
    <row r="14" spans="2:10" x14ac:dyDescent="0.3">
      <c r="B14" s="5" t="str">
        <f>IF(OR(Home!$D$7="",Home!$D$8="No"),"",IF(ISBLANK(HLOOKUP(Home!$D$7,$D$2:$F$102,ROW(A13),FALSE)),"",IF(H14="",HLOOKUP(Home!$D$7,$D$2:$F$102,ROW(A13),FALSE),IF(C14=FALSE,"C"))))</f>
        <v/>
      </c>
      <c r="C14" s="5" t="b">
        <f>AND(ISNUMBER(H14+0),LEFT(H14,1)="1")</f>
        <v>0</v>
      </c>
      <c r="D14" s="15" t="str">
        <f t="shared" si="1"/>
        <v>R</v>
      </c>
      <c r="E14" s="15"/>
      <c r="F14" s="15"/>
      <c r="G14" s="9" t="s">
        <v>13</v>
      </c>
      <c r="H14" s="25"/>
    </row>
    <row r="15" spans="2:10" x14ac:dyDescent="0.3">
      <c r="B15" s="5" t="str">
        <f>IF(OR(Home!$D$7="",Home!$D$8="No"),"",IF(ISBLANK(HLOOKUP(Home!$D$7,$D$2:$F$102,ROW(A14),FALSE)),"",IF(H15="",HLOOKUP(Home!$D$7,$D$2:$F$102,ROW(A14),FALSE),IF(C15=FALSE,"C"))))</f>
        <v/>
      </c>
      <c r="C15" s="5" t="b">
        <f>IF(H15="",TRUE,ISNUMBER(FIND("@",H15,1)+FIND(".",H15,1)))</f>
        <v>1</v>
      </c>
      <c r="D15" s="15" t="str">
        <f t="shared" si="1"/>
        <v>R</v>
      </c>
      <c r="E15" s="15"/>
      <c r="F15" s="15"/>
      <c r="G15" s="9" t="s">
        <v>14</v>
      </c>
      <c r="H15" s="26"/>
    </row>
    <row r="16" spans="2:10" x14ac:dyDescent="0.3">
      <c r="B16" s="5" t="str">
        <f>IF(OR(Home!$D$7="",Home!$D$8="No"),"",IF(ISBLANK(HLOOKUP(Home!$D$7,$D$2:$F$102,ROW(A15),FALSE)),"",IF(H16="",HLOOKUP(Home!$D$7,$D$2:$F$102,ROW(A15),FALSE),IF(C16=FALSE,"C"))))</f>
        <v/>
      </c>
      <c r="C16" s="5" t="b">
        <v>1</v>
      </c>
      <c r="D16" s="15" t="str">
        <f t="shared" si="1"/>
        <v>R</v>
      </c>
      <c r="E16" s="15"/>
      <c r="F16" s="15"/>
      <c r="G16" s="9" t="s">
        <v>53</v>
      </c>
      <c r="H16" s="25"/>
    </row>
    <row r="17" spans="2:8" x14ac:dyDescent="0.3">
      <c r="B17" s="5" t="str">
        <f>IF(OR(Home!$D$7="",Home!$D$8="No"),"",IF(ISBLANK(HLOOKUP(Home!$D$7,$D$2:$F$102,ROW(A16),FALSE)),"",IF(H17="",HLOOKUP(Home!$D$7,$D$2:$F$102,ROW(A16),FALSE),IF(C17=FALSE,"C"))))</f>
        <v/>
      </c>
      <c r="C17" s="5" t="b">
        <f>ISNUMBER(H17+0)</f>
        <v>1</v>
      </c>
      <c r="D17" s="15" t="str">
        <f>IF(COUNTIF($B$4:$B$7,"R")&gt;0,"",IF(OR($H$5="Yes",H16=""),"Y","R"))</f>
        <v>Y</v>
      </c>
      <c r="E17" s="15"/>
      <c r="F17" s="15"/>
      <c r="G17" s="9" t="str">
        <f>IF(OR(Home!$D$7="Study Participant",Home!$D$7="Individual"),"Social Security Number (SSN) (9 Digits):",IF(H16="","",$H$16&amp;" (9 Digits) :"))</f>
        <v/>
      </c>
      <c r="H17" s="25"/>
    </row>
    <row r="18" spans="2:8" x14ac:dyDescent="0.3">
      <c r="B18" s="5" t="str">
        <f>IF(OR(Home!$D$7="",Home!$D$8="No"),"",IF(ISBLANK(HLOOKUP(Home!$D$7,$D$2:$F$102,ROW(A17),FALSE)),"",IF(H18="",HLOOKUP(Home!$D$7,$D$2:$F$102,ROW(A17),FALSE),IF(C18=FALSE,"C"))))</f>
        <v/>
      </c>
      <c r="C18" s="5" t="b">
        <v>1</v>
      </c>
      <c r="D18" s="15" t="str">
        <f t="shared" si="1"/>
        <v>R</v>
      </c>
      <c r="E18" s="15"/>
      <c r="F18" s="15"/>
      <c r="G18" s="9" t="s">
        <v>54</v>
      </c>
      <c r="H18" s="25"/>
    </row>
    <row r="19" spans="2:8" x14ac:dyDescent="0.3">
      <c r="B19" s="5" t="str">
        <f>IF(OR(Home!$D$7="",Home!$D$8="No"),"",IF(ISBLANK(HLOOKUP(Home!$D$7,$D$2:$F$102,ROW(A18),FALSE)),"",IF(H19="",HLOOKUP(Home!$D$7,$D$2:$F$102,ROW(A18),FALSE),IF(C19=FALSE,"C"))))</f>
        <v/>
      </c>
      <c r="C19" s="5" t="b">
        <v>1</v>
      </c>
      <c r="D19" s="15" t="str">
        <f>IF(COUNTIF($B$4:$B$7,"R")&gt;0,"",IF($H$18="Limited Liability Company (LLC)","R","Y"))</f>
        <v>Y</v>
      </c>
      <c r="E19" s="15"/>
      <c r="F19" s="15"/>
      <c r="G19" s="9" t="str">
        <f>IF(H18="Limited Liability Company (LLC)","If LLC, Select Tax Classification:","")</f>
        <v/>
      </c>
      <c r="H19" s="25"/>
    </row>
    <row r="20" spans="2:8" ht="28.8" x14ac:dyDescent="0.3">
      <c r="B20" s="5" t="str">
        <f>IF(OR(Home!$D$7="",Home!$D$8="No"),"",IF(ISBLANK(HLOOKUP(Home!$D$7,$D$2:$F$102,ROW(A19),FALSE)),"",IF(H20="",HLOOKUP(Home!$D$7,$D$2:$F$102,ROW(A19),FALSE),IF(C20=FALSE,"C"))))</f>
        <v/>
      </c>
      <c r="C20" s="5" t="b">
        <v>1</v>
      </c>
      <c r="D20" s="15" t="str">
        <f>IF(COUNTIF($B$4:$B$7,"R")&gt;0,"",IF(OR($H$5="Yes",$H$18="Individual"),"Y","R"))</f>
        <v>R</v>
      </c>
      <c r="E20" s="15"/>
      <c r="F20" s="15"/>
      <c r="G20" s="9" t="s">
        <v>55</v>
      </c>
      <c r="H20" s="25"/>
    </row>
    <row r="21" spans="2:8" x14ac:dyDescent="0.3">
      <c r="B21" s="5" t="str">
        <f>IF(OR(Home!$D$7="",Home!$D$8="No"),"",IF(ISBLANK(HLOOKUP(Home!$D$7,$D$2:$F$102,ROW(A20),FALSE)),"",IF(H21="",HLOOKUP(Home!$D$7,$D$2:$F$102,ROW(A20),FALSE),IF(C21=FALSE,"C"))))</f>
        <v/>
      </c>
      <c r="C21" s="5" t="b">
        <v>1</v>
      </c>
      <c r="D21" s="15" t="str">
        <f t="shared" ref="D21:D25" si="2">IF(COUNTIF($B$4:$B$7,"R")&gt;0,"",IF(OR($H$5="Yes",$H$20="",$H$20="No",$H$20="Yes - Small Only"),"Y","R"))</f>
        <v>Y</v>
      </c>
      <c r="E21" s="15"/>
      <c r="F21" s="15"/>
      <c r="G21" s="9" t="str">
        <f>IF(OR($H$20="Yes - Small and Diverse",$H$20="Yes - Diverse Only"),"Indicate if Disadvantaged Business (DBE):","")</f>
        <v/>
      </c>
      <c r="H21" s="25"/>
    </row>
    <row r="22" spans="2:8" x14ac:dyDescent="0.3">
      <c r="B22" s="5" t="str">
        <f>IF(OR(Home!$D$7="",Home!$D$8="No"),"",IF(ISBLANK(HLOOKUP(Home!$D$7,$D$2:$F$102,ROW(A21),FALSE)),"",IF(H22="",HLOOKUP(Home!$D$7,$D$2:$F$102,ROW(A21),FALSE),IF(C22=FALSE,"C"))))</f>
        <v/>
      </c>
      <c r="C22" s="5" t="b">
        <v>1</v>
      </c>
      <c r="D22" s="15" t="str">
        <f t="shared" si="2"/>
        <v>Y</v>
      </c>
      <c r="E22" s="15"/>
      <c r="F22" s="15"/>
      <c r="G22" s="9" t="str">
        <f>IF(OR($H$20="Yes - Small and Diverse",$H$20="Yes - Diverse Only"),"Indicate if Woman-Owned Business (WBE):","")</f>
        <v/>
      </c>
      <c r="H22" s="25"/>
    </row>
    <row r="23" spans="2:8" x14ac:dyDescent="0.3">
      <c r="B23" s="5" t="str">
        <f>IF(OR(Home!$D$7="",Home!$D$8="No"),"",IF(ISBLANK(HLOOKUP(Home!$D$7,$D$2:$F$102,ROW(A22),FALSE)),"",IF(H23="",HLOOKUP(Home!$D$7,$D$2:$F$102,ROW(A22),FALSE),IF(C23=FALSE,"C"))))</f>
        <v/>
      </c>
      <c r="C23" s="5" t="b">
        <v>1</v>
      </c>
      <c r="D23" s="15" t="str">
        <f t="shared" si="2"/>
        <v>Y</v>
      </c>
      <c r="E23" s="15"/>
      <c r="F23" s="15"/>
      <c r="G23" s="9" t="str">
        <f>IF(OR($H$20="Yes - Small and Diverse",$H$20="Yes - Diverse Only"),"Indicate if Minority Owned Business (MBE):","")</f>
        <v/>
      </c>
      <c r="H23" s="25"/>
    </row>
    <row r="24" spans="2:8" x14ac:dyDescent="0.3">
      <c r="B24" s="5" t="str">
        <f>IF(OR(Home!$D$7="",Home!$D$8="No"),"",IF(ISBLANK(HLOOKUP(Home!$D$7,$D$2:$F$102,ROW(A23),FALSE)),"",IF(H24="",HLOOKUP(Home!$D$7,$D$2:$F$102,ROW(A23),FALSE),IF(C24=FALSE,"C"))))</f>
        <v/>
      </c>
      <c r="C24" s="5" t="b">
        <v>1</v>
      </c>
      <c r="D24" s="15" t="str">
        <f t="shared" si="2"/>
        <v>Y</v>
      </c>
      <c r="E24" s="15"/>
      <c r="F24" s="15"/>
      <c r="G24" s="9" t="str">
        <f>IF(OR($H$20="Yes - Small and Diverse",$H$20="Yes - Diverse Only"),"Indicate if Veteran Owned Business (VBE):","")</f>
        <v/>
      </c>
      <c r="H24" s="25"/>
    </row>
    <row r="25" spans="2:8" ht="32.25" customHeight="1" x14ac:dyDescent="0.3">
      <c r="B25" s="5" t="str">
        <f>IF(OR(Home!$D$7="",Home!$D$8="No"),"",IF(ISBLANK(HLOOKUP(Home!$D$7,$D$2:$F$102,ROW(A24),FALSE)),"",IF(H25="",HLOOKUP(Home!$D$7,$D$2:$F$102,ROW(A24),FALSE),IF(C25=FALSE,"C"))))</f>
        <v/>
      </c>
      <c r="C25" s="5" t="b">
        <v>1</v>
      </c>
      <c r="D25" s="15" t="str">
        <f t="shared" si="2"/>
        <v>Y</v>
      </c>
      <c r="E25" s="15"/>
      <c r="F25" s="15"/>
      <c r="G25" s="9" t="str">
        <f>IF(OR($H$20="Yes - Small and Diverse",$H$20="Yes - Diverse Only"),"Indicate if Historically Black Colleges / Universities &amp; Minority Institutions:","")</f>
        <v/>
      </c>
      <c r="H25" s="25"/>
    </row>
    <row r="26" spans="2:8" x14ac:dyDescent="0.3">
      <c r="B26" s="5" t="str">
        <f>IF(OR(Home!$D$7="",Home!$D$8="No"),"",IF(ISBLANK(HLOOKUP(Home!$D$7,$D$2:$F$102,ROW(A25),FALSE)),"",IF(H26="",HLOOKUP(Home!$D$7,$D$2:$F$102,ROW(A25),FALSE),IF(C26=FALSE,"C"))))</f>
        <v/>
      </c>
      <c r="C26" s="5" t="b">
        <v>1</v>
      </c>
      <c r="D26" s="15" t="str">
        <f t="shared" ref="D26:D28" si="3">IF(COUNTIF($B$4:$B$7,"R")&gt;0,"",IF(OR($H$5="Yes",$H$20="",$H$20="No",$H$20="Yes - Small Only",$H$20="Yes - Diverse Only"),"Y","R"))</f>
        <v>Y</v>
      </c>
      <c r="E26" s="15"/>
      <c r="F26" s="15"/>
      <c r="G26" s="9" t="str">
        <f>IF(OR($H$20="Yes - Small and Diverse"),"Indicate if HUBZone Small Business (HUB Zone):","")</f>
        <v/>
      </c>
      <c r="H26" s="25"/>
    </row>
    <row r="27" spans="2:8" ht="33.75" customHeight="1" x14ac:dyDescent="0.3">
      <c r="B27" s="5" t="str">
        <f>IF(OR(Home!$D$7="",Home!$D$8="No"),"",IF(ISBLANK(HLOOKUP(Home!$D$7,$D$2:$F$102,ROW(A26),FALSE)),"",IF(H27="",HLOOKUP(Home!$D$7,$D$2:$F$102,ROW(A26),FALSE),IF(C27=FALSE,"C"))))</f>
        <v/>
      </c>
      <c r="C27" s="5" t="b">
        <v>1</v>
      </c>
      <c r="D27" s="15" t="str">
        <f t="shared" si="3"/>
        <v>Y</v>
      </c>
      <c r="E27" s="15"/>
      <c r="F27" s="15"/>
      <c r="G27" s="9" t="str">
        <f>IF(OR($H$20="Yes - Small and Diverse"),"Indicate if Service Disabled Veteran-Owned Small Business (SDVOSB):","")</f>
        <v/>
      </c>
      <c r="H27" s="25"/>
    </row>
    <row r="28" spans="2:8" ht="33.75" customHeight="1" x14ac:dyDescent="0.3">
      <c r="B28" s="5" t="str">
        <f>IF(OR(Home!$D$7="",Home!$D$8="No"),"",IF(ISBLANK(HLOOKUP(Home!$D$7,$D$2:$F$102,ROW(A27),FALSE)),"",IF(H28="",HLOOKUP(Home!$D$7,$D$2:$F$102,ROW(A27),FALSE),IF(C28=FALSE,"C"))))</f>
        <v/>
      </c>
      <c r="C28" s="5" t="b">
        <v>1</v>
      </c>
      <c r="D28" s="15" t="str">
        <f t="shared" si="3"/>
        <v>Y</v>
      </c>
      <c r="E28" s="15"/>
      <c r="F28" s="15"/>
      <c r="G28" s="9" t="str">
        <f>IF(OR($H$20="Yes - Small and Diverse"),"Indicate if Alaskan Native Corporations (ANCs) &amp; Indian Tribes):","")</f>
        <v/>
      </c>
      <c r="H28" s="25"/>
    </row>
    <row r="29" spans="2:8" ht="23.25" customHeight="1" x14ac:dyDescent="0.3">
      <c r="B29" s="5" t="str">
        <f>IF(OR(Home!$D$7="",Home!$D$8="No"),"",IF(ISBLANK(HLOOKUP(Home!$D$7,$D$2:$F$102,ROW(A28),FALSE)),"",IF(H29="",HLOOKUP(Home!$D$7,$D$2:$F$102,ROW(A28),FALSE),IF(C29=FALSE,"C"))))</f>
        <v/>
      </c>
      <c r="C29" s="5" t="b">
        <v>1</v>
      </c>
      <c r="D29" s="15" t="str">
        <f t="shared" ref="D29" si="4">IF(COUNTIF($B$4:$B$7,"R")&gt;0,"","Y")</f>
        <v>Y</v>
      </c>
      <c r="E29" s="15"/>
      <c r="F29" s="15"/>
      <c r="G29" s="48" t="s">
        <v>56</v>
      </c>
      <c r="H29" s="53"/>
    </row>
    <row r="30" spans="2:8" x14ac:dyDescent="0.3">
      <c r="B30" s="5" t="str">
        <f>IF(OR(Home!$D$7="",Home!$D$8="No"),"",IF(ISBLANK(HLOOKUP(Home!$D$7,$D$2:$F$102,ROW(A29),FALSE)),"",IF(H30="",HLOOKUP(Home!$D$7,$D$2:$F$102,ROW(A29),FALSE),IF(C30=FALSE,"C"))))</f>
        <v/>
      </c>
      <c r="C30" s="5" t="b">
        <v>1</v>
      </c>
      <c r="D30" s="15" t="str">
        <f t="shared" ref="D30" si="5">IF(COUNTIF($B$4:$B$7,"R")&gt;0,"",IF($H$5="Yes","Y","R"))</f>
        <v>R</v>
      </c>
      <c r="E30" s="15"/>
      <c r="F30" s="15"/>
      <c r="G30" s="9" t="s">
        <v>19</v>
      </c>
      <c r="H30" s="25"/>
    </row>
    <row r="31" spans="2:8" x14ac:dyDescent="0.3">
      <c r="B31" s="5" t="str">
        <f>IF(OR(Home!$D$7="",Home!$D$8="No"),"",IF(ISBLANK(HLOOKUP(Home!$D$7,$D$2:$F$102,ROW(A30),FALSE)),"",IF(H31="",HLOOKUP(Home!$D$7,$D$2:$F$102,ROW(A30),FALSE),IF(C31=FALSE,"C"))))</f>
        <v/>
      </c>
      <c r="C31" s="5" t="b">
        <v>1</v>
      </c>
      <c r="D31" s="15" t="str">
        <f t="shared" ref="D31" si="6">IF(COUNTIF($B$4:$B$7,"R")&gt;0,"","Y")</f>
        <v>Y</v>
      </c>
      <c r="E31" s="15"/>
      <c r="F31" s="15"/>
      <c r="G31" s="9" t="s">
        <v>20</v>
      </c>
      <c r="H31" s="25"/>
    </row>
    <row r="32" spans="2:8" x14ac:dyDescent="0.3">
      <c r="B32" s="5" t="str">
        <f>IF(OR(Home!$D$7="",Home!$D$8="No"),"",IF(ISBLANK(HLOOKUP(Home!$D$7,$D$2:$F$102,ROW(A31),FALSE)),"",IF(H32="",HLOOKUP(Home!$D$7,$D$2:$F$102,ROW(A31),FALSE),IF(C32=FALSE,"C"))))</f>
        <v/>
      </c>
      <c r="C32" s="5" t="b">
        <v>1</v>
      </c>
      <c r="D32" s="15" t="str">
        <f t="shared" ref="D32:D34" si="7">IF(COUNTIF($B$4:$B$7,"R")&gt;0,"",IF($H$5="Yes","Y","R"))</f>
        <v>R</v>
      </c>
      <c r="E32" s="15"/>
      <c r="F32" s="15"/>
      <c r="G32" s="9" t="s">
        <v>57</v>
      </c>
      <c r="H32" s="25"/>
    </row>
    <row r="33" spans="2:8" x14ac:dyDescent="0.3">
      <c r="B33" s="5" t="str">
        <f>IF(OR(Home!$D$7="",Home!$D$8="No"),"",IF(ISBLANK(HLOOKUP(Home!$D$7,$D$2:$F$102,ROW(A32),FALSE)),"",IF(H33="",HLOOKUP(Home!$D$7,$D$2:$F$102,ROW(A32),FALSE),IF(C33=FALSE,"C"))))</f>
        <v/>
      </c>
      <c r="C33" s="5" t="b">
        <v>1</v>
      </c>
      <c r="D33" s="15" t="str">
        <f t="shared" si="7"/>
        <v>R</v>
      </c>
      <c r="E33" s="15"/>
      <c r="F33" s="15"/>
      <c r="G33" s="9" t="s">
        <v>58</v>
      </c>
      <c r="H33" s="25"/>
    </row>
    <row r="34" spans="2:8" x14ac:dyDescent="0.3">
      <c r="B34" s="5" t="str">
        <f>IF(OR(Home!$D$7="",Home!$D$8="No"),"",IF(ISBLANK(HLOOKUP(Home!$D$7,$D$2:$F$102,ROW(A33),FALSE)),"",IF(H34="",HLOOKUP(Home!$D$7,$D$2:$F$102,ROW(A33),FALSE),IF(C34=FALSE,"C"))))</f>
        <v/>
      </c>
      <c r="C34" s="5" t="b">
        <v>1</v>
      </c>
      <c r="D34" s="15" t="str">
        <f t="shared" si="7"/>
        <v>R</v>
      </c>
      <c r="E34" s="15"/>
      <c r="F34" s="15"/>
      <c r="G34" s="9" t="s">
        <v>59</v>
      </c>
      <c r="H34" s="25"/>
    </row>
    <row r="35" spans="2:8" x14ac:dyDescent="0.3">
      <c r="B35" s="5" t="str">
        <f>IF(OR(Home!$D$7="",Home!$D$8="No"),"",IF(ISBLANK(HLOOKUP(Home!$D$7,$D$2:$F$102,ROW(A34),FALSE)),"",IF(H35="",HLOOKUP(Home!$D$7,$D$2:$F$102,ROW(A34),FALSE),IF(C35=FALSE,"C"))))</f>
        <v/>
      </c>
      <c r="C35" s="5" t="b">
        <f>AND(ISNUMBER(H35+0),LEFT(H35,1)="1")</f>
        <v>0</v>
      </c>
      <c r="D35" s="15" t="str">
        <f>IF(COUNTIF($B$4:$B$7,"R")&gt;0,"",IF($H$5="Yes","Y","R"))</f>
        <v>R</v>
      </c>
      <c r="E35" s="13"/>
      <c r="F35" s="15"/>
      <c r="G35" s="9" t="s">
        <v>60</v>
      </c>
      <c r="H35" s="25"/>
    </row>
    <row r="36" spans="2:8" x14ac:dyDescent="0.3">
      <c r="B36" s="5" t="str">
        <f>IF(OR(Home!$D$7="",Home!$D$8="No"),"",IF(ISBLANK(HLOOKUP(Home!$D$7,$D$2:$F$102,ROW(A35),FALSE)),"",IF(H36="",HLOOKUP(Home!$D$7,$D$2:$F$102,ROW(A35),FALSE),IF(C36=FALSE,"C"))))</f>
        <v/>
      </c>
      <c r="C36" s="5" t="b">
        <f>IF(H36="",TRUE,ISNUMBER(FIND("@",H36,1)+FIND(".",H36,1)))</f>
        <v>1</v>
      </c>
      <c r="D36" s="15" t="str">
        <f>IF(COUNTIF($B$4:$B$7,"R")&gt;0,"",IF($H$5="Yes","Y","R"))</f>
        <v>R</v>
      </c>
      <c r="E36" s="13"/>
      <c r="F36" s="15"/>
      <c r="G36" s="9" t="s">
        <v>61</v>
      </c>
      <c r="H36" s="25"/>
    </row>
    <row r="37" spans="2:8" ht="23.25" customHeight="1" x14ac:dyDescent="0.3">
      <c r="B37" s="5" t="str">
        <f>IF(OR(Home!$D$7="",Home!$D$8="No"),"",IF(ISBLANK(HLOOKUP(Home!$D$7,$D$2:$F$102,ROW(A36),FALSE)),"",IF(H37="",HLOOKUP(Home!$D$7,$D$2:$F$102,ROW(A36),FALSE),IF(C37=FALSE,"C"))))</f>
        <v/>
      </c>
      <c r="C37" s="5" t="b">
        <v>1</v>
      </c>
      <c r="D37" s="15" t="str">
        <f>IF(COUNTIF($B$4:$B$7,"R")&gt;0,"","Y")</f>
        <v>Y</v>
      </c>
      <c r="E37" s="13"/>
      <c r="F37" s="15"/>
      <c r="G37" s="48" t="s">
        <v>22</v>
      </c>
      <c r="H37" s="53"/>
    </row>
    <row r="38" spans="2:8" x14ac:dyDescent="0.3">
      <c r="B38" s="5" t="str">
        <f>IF(OR(Home!$D$7="",Home!$D$8="No"),"",IF(ISBLANK(HLOOKUP(Home!$D$7,$D$2:$F$102,ROW(A37),FALSE)),"",IF(H38="",HLOOKUP(Home!$D$7,$D$2:$F$102,ROW(A37),FALSE),IF(C38=FALSE,"C"))))</f>
        <v/>
      </c>
      <c r="C38" s="5" t="b">
        <v>1</v>
      </c>
      <c r="D38" s="15" t="str">
        <f>IF(COUNTIF($B$4:$B$7,"R")&gt;0,"",IF($H$5="Yes","Y","R"))</f>
        <v>R</v>
      </c>
      <c r="E38" s="13"/>
      <c r="F38" s="15"/>
      <c r="G38" s="9" t="s">
        <v>62</v>
      </c>
      <c r="H38" s="25"/>
    </row>
    <row r="39" spans="2:8" x14ac:dyDescent="0.3">
      <c r="B39" s="5" t="str">
        <f>IF(OR(Home!$D$7="",Home!$D$8="No"),"",IF(ISBLANK(HLOOKUP(Home!$D$7,$D$2:$F$102,ROW(A38),FALSE)),"",IF(H39="",HLOOKUP(Home!$D$7,$D$2:$F$102,ROW(A38),FALSE),IF(C39=FALSE,"C"))))</f>
        <v/>
      </c>
      <c r="C39" s="5" t="b">
        <f>IF(H39="",TRUE,ISNUMBER(FIND("@",H39,1)+FIND(".",H39,1)))</f>
        <v>1</v>
      </c>
      <c r="D39" s="15" t="str">
        <f>IF(COUNTIF($B$4:$B$7,"R")&gt;0,"",IF(LEFT($H$38,5)="Email","R","Y"))</f>
        <v>Y</v>
      </c>
      <c r="E39" s="13"/>
      <c r="F39" s="15"/>
      <c r="G39" s="9" t="str">
        <f>IF(LEFT($H$38,5)="Email","Email for Receiving Orders:","")</f>
        <v/>
      </c>
      <c r="H39" s="25"/>
    </row>
    <row r="40" spans="2:8" x14ac:dyDescent="0.3">
      <c r="B40" s="5" t="str">
        <f>IF(OR(Home!$D$7="",Home!$D$8="No"),"",IF(ISBLANK(HLOOKUP(Home!$D$7,$D$2:$F$102,ROW(A39),FALSE)),"",IF(H40="",HLOOKUP(Home!$D$7,$D$2:$F$102,ROW(A39),FALSE),IF(C40=FALSE,"C"))))</f>
        <v/>
      </c>
      <c r="C40" s="5" t="b">
        <f>ISNUMBER(H40+0)</f>
        <v>1</v>
      </c>
      <c r="D40" s="15" t="str">
        <f>IF(COUNTIF($B$4:$B$7,"R")&gt;0,"",IF($H$38="Fax","R","Y"))</f>
        <v>Y</v>
      </c>
      <c r="E40" s="13"/>
      <c r="F40" s="15"/>
      <c r="G40" s="9" t="str">
        <f>IF($H$38="Fax","Fax Number for Receiving Orders:","")</f>
        <v/>
      </c>
      <c r="H40" s="25"/>
    </row>
    <row r="41" spans="2:8" ht="28.8" x14ac:dyDescent="0.3">
      <c r="B41" s="5" t="str">
        <f>IF(OR(Home!$D$7="",Home!$D$8="No"),"",IF(ISBLANK(HLOOKUP(Home!$D$7,$D$2:$F$102,ROW(A40),FALSE)),"",IF(H41="",HLOOKUP(Home!$D$7,$D$2:$F$102,ROW(A40),FALSE),IF(C41=FALSE,"C"))))</f>
        <v/>
      </c>
      <c r="C41" s="5" t="b">
        <v>1</v>
      </c>
      <c r="D41" s="15" t="str">
        <f>IF(COUNTIF($B$4:$B$7,"R")&gt;0,"",IF($H$5="Yes","Y","R"))</f>
        <v>R</v>
      </c>
      <c r="E41" s="15"/>
      <c r="F41" s="15"/>
      <c r="G41" s="9" t="s">
        <v>63</v>
      </c>
      <c r="H41" s="25"/>
    </row>
    <row r="42" spans="2:8" x14ac:dyDescent="0.3">
      <c r="B42" s="5" t="str">
        <f>IF(OR(Home!$D$7="",Home!$D$8="No"),"",IF(ISBLANK(HLOOKUP(Home!$D$7,$D$2:$F$102,ROW(A41),FALSE)),"",IF(H42="",HLOOKUP(Home!$D$7,$D$2:$F$102,ROW(A41),FALSE),IF(C42=FALSE,"C"))))</f>
        <v/>
      </c>
      <c r="C42" s="5" t="b">
        <v>1</v>
      </c>
      <c r="D42" s="15" t="str">
        <f>IF(COUNTIF($B$4:$B$7,"R")&gt;0,"",IF(OR($H$5="Yes",$H$41="Yes",$H$41=""),"Y","R"))</f>
        <v>Y</v>
      </c>
      <c r="E42" s="13"/>
      <c r="F42" s="15"/>
      <c r="G42" s="9" t="str">
        <f>IF($H$41="No","Address Line 1:","")</f>
        <v/>
      </c>
      <c r="H42" s="25"/>
    </row>
    <row r="43" spans="2:8" x14ac:dyDescent="0.3">
      <c r="B43" s="5" t="str">
        <f>IF(OR(Home!$D$7="",Home!$D$8="No"),"",IF(ISBLANK(HLOOKUP(Home!$D$7,$D$2:$F$102,ROW(A42),FALSE)),"",IF(H43="",HLOOKUP(Home!$D$7,$D$2:$F$102,ROW(A42),FALSE),IF(C43=FALSE,"C"))))</f>
        <v/>
      </c>
      <c r="C43" s="5" t="b">
        <v>1</v>
      </c>
      <c r="D43" s="15" t="str">
        <f>IF(COUNTIF($B$4:$B$7,"R")&gt;0,"","Y")</f>
        <v>Y</v>
      </c>
      <c r="E43" s="13"/>
      <c r="F43" s="15"/>
      <c r="G43" s="9" t="str">
        <f>IF($H$41="No","Address Line 2:","")</f>
        <v/>
      </c>
      <c r="H43" s="25"/>
    </row>
    <row r="44" spans="2:8" x14ac:dyDescent="0.3">
      <c r="B44" s="5" t="str">
        <f>IF(OR(Home!$D$7="",Home!$D$8="No"),"",IF(ISBLANK(HLOOKUP(Home!$D$7,$D$2:$F$102,ROW(A43),FALSE)),"",IF(H44="",HLOOKUP(Home!$D$7,$D$2:$F$102,ROW(A43),FALSE),IF(C44=FALSE,"C"))))</f>
        <v/>
      </c>
      <c r="C44" s="5" t="b">
        <v>1</v>
      </c>
      <c r="D44" s="15" t="str">
        <f>IF(COUNTIF($B$4:$B$7,"R")&gt;0,"",IF(OR($H$5="Yes",$H$41="Yes",$H$41=""),"Y","R"))</f>
        <v>Y</v>
      </c>
      <c r="E44" s="13"/>
      <c r="F44" s="15"/>
      <c r="G44" s="9" t="str">
        <f>IF($H$41="No","City:","")</f>
        <v/>
      </c>
      <c r="H44" s="25"/>
    </row>
    <row r="45" spans="2:8" x14ac:dyDescent="0.3">
      <c r="B45" s="5" t="str">
        <f>IF(OR(Home!$D$7="",Home!$D$8="No"),"",IF(ISBLANK(HLOOKUP(Home!$D$7,$D$2:$F$102,ROW(A44),FALSE)),"",IF(H45="",HLOOKUP(Home!$D$7,$D$2:$F$102,ROW(A44),FALSE),IF(C45=FALSE,"C"))))</f>
        <v/>
      </c>
      <c r="C45" s="5" t="b">
        <v>1</v>
      </c>
      <c r="D45" s="15" t="str">
        <f>IF(COUNTIF($B$4:$B$7,"R")&gt;0,"",IF(OR($H$5="Yes",$H$41="Yes",$H$41=""),"Y","R"))</f>
        <v>Y</v>
      </c>
      <c r="E45" s="13"/>
      <c r="F45" s="15"/>
      <c r="G45" s="9" t="str">
        <f>IF($H$41="No","State:","")</f>
        <v/>
      </c>
      <c r="H45" s="25"/>
    </row>
    <row r="46" spans="2:8" x14ac:dyDescent="0.3">
      <c r="B46" s="5" t="str">
        <f>IF(OR(Home!$D$7="",Home!$D$8="No"),"",IF(ISBLANK(HLOOKUP(Home!$D$7,$D$2:$F$102,ROW(A45),FALSE)),"",IF(H46="",HLOOKUP(Home!$D$7,$D$2:$F$102,ROW(A45),FALSE),IF(C46=FALSE,"C"))))</f>
        <v/>
      </c>
      <c r="C46" s="5" t="b">
        <v>1</v>
      </c>
      <c r="D46" s="15" t="str">
        <f>IF(COUNTIF($B$4:$B$7,"R")&gt;0,"",IF(OR($H$5="Yes",$H$41="Yes",$H$41=""),"Y","R"))</f>
        <v>Y</v>
      </c>
      <c r="E46" s="13"/>
      <c r="F46" s="15"/>
      <c r="G46" s="9" t="str">
        <f>IF($H$41="No","ZIP Code:","")</f>
        <v/>
      </c>
      <c r="H46" s="25"/>
    </row>
    <row r="47" spans="2:8" x14ac:dyDescent="0.3">
      <c r="B47" s="5" t="str">
        <f>IF(OR(Home!$D$7="",Home!$D$8="No"),"",IF(ISBLANK(HLOOKUP(Home!$D$7,$D$2:$F$102,ROW(A46),FALSE)),"",IF(H47="",HLOOKUP(Home!$D$7,$D$2:$F$102,ROW(A46),FALSE),IF(C47=FALSE,"C"))))</f>
        <v/>
      </c>
      <c r="C47" s="5" t="b">
        <f>AND(ISNUMBER(H47+0),LEFT(H47,1)="1")</f>
        <v>0</v>
      </c>
      <c r="D47" s="15" t="str">
        <f>IF(COUNTIF($B$4:$B$7,"R")&gt;0,"",IF(OR($H$5="Yes",$H$41="Yes",$H$41=""),"Y","R"))</f>
        <v>Y</v>
      </c>
      <c r="E47" s="13"/>
      <c r="F47" s="15"/>
      <c r="G47" s="9" t="str">
        <f>IF($H$41="No","Phone:","")</f>
        <v/>
      </c>
      <c r="H47" s="25"/>
    </row>
    <row r="48" spans="2:8" ht="23.25" customHeight="1" x14ac:dyDescent="0.3">
      <c r="B48" s="5" t="str">
        <f>IF(OR(Home!$D$7="",Home!$D$8="No"),"",IF(ISBLANK(HLOOKUP(Home!$D$7,$D$2:$F$102,ROW(A47),FALSE)),"",IF(H48="",HLOOKUP(Home!$D$7,$D$2:$F$102,ROW(A47),FALSE),IF(C48=FALSE,"C"))))</f>
        <v/>
      </c>
      <c r="C48" s="5" t="b">
        <v>1</v>
      </c>
      <c r="D48" s="15" t="str">
        <f t="shared" ref="D48" si="8">IF(COUNTIF($B$4:$B$7,"R")&gt;0,"","Y")</f>
        <v>Y</v>
      </c>
      <c r="E48" s="15"/>
      <c r="F48" s="15"/>
      <c r="G48" s="48" t="s">
        <v>64</v>
      </c>
      <c r="H48" s="53"/>
    </row>
    <row r="49" spans="2:8" ht="33.75" customHeight="1" x14ac:dyDescent="0.3">
      <c r="B49" s="5" t="str">
        <f>IF(OR(Home!$D$7="",Home!$D$8="No"),"",IF(ISBLANK(HLOOKUP(Home!$D$7,$D$2:$F$102,ROW(A48),FALSE)),"",IF(H49="",HLOOKUP(Home!$D$7,$D$2:$F$102,ROW(A48),FALSE),IF(C49=FALSE,"C"))))</f>
        <v/>
      </c>
      <c r="C49" s="5" t="b">
        <v>1</v>
      </c>
      <c r="D49" s="15" t="str">
        <f>IF(COUNTIF($B$4:$B$7,"R")&gt;0,"",IF($H$5="Yes","Y","R"))</f>
        <v>R</v>
      </c>
      <c r="E49" s="15"/>
      <c r="F49" s="15"/>
      <c r="G49" s="9" t="s">
        <v>65</v>
      </c>
      <c r="H49" s="25"/>
    </row>
    <row r="50" spans="2:8" x14ac:dyDescent="0.3">
      <c r="B50" s="5" t="str">
        <f>IF(OR(Home!$D$7="",Home!$D$8="No"),"",IF(ISBLANK(HLOOKUP(Home!$D$7,$D$2:$F$102,ROW(A49),FALSE)),"",IF(H50="",HLOOKUP(Home!$D$7,$D$2:$F$102,ROW(A49),FALSE),IF(C50=FALSE,"C"))))</f>
        <v/>
      </c>
      <c r="C50" s="5" t="b">
        <v>1</v>
      </c>
      <c r="D50" s="15" t="str">
        <f>IF(COUNTIF($B$4:$B$7,"R")&gt;0,"",IF(OR($H$5="Yes",$H$49="Yes",$H$49=""),"Y","R"))</f>
        <v>Y</v>
      </c>
      <c r="E50" s="15"/>
      <c r="F50" s="15"/>
      <c r="G50" s="9" t="str">
        <f>IF($H$49="No","Address Line 1:","")</f>
        <v/>
      </c>
      <c r="H50" s="25"/>
    </row>
    <row r="51" spans="2:8" x14ac:dyDescent="0.3">
      <c r="B51" s="5" t="str">
        <f>IF(OR(Home!$D$7="",Home!$D$8="No"),"",IF(ISBLANK(HLOOKUP(Home!$D$7,$D$2:$F$102,ROW(A50),FALSE)),"",IF(H51="",HLOOKUP(Home!$D$7,$D$2:$F$102,ROW(A50),FALSE),IF(C51=FALSE,"C"))))</f>
        <v/>
      </c>
      <c r="C51" s="5" t="b">
        <v>1</v>
      </c>
      <c r="D51" s="15" t="str">
        <f t="shared" ref="D51" si="9">IF(COUNTIF($B$4:$B$7,"R")&gt;0,"","Y")</f>
        <v>Y</v>
      </c>
      <c r="E51" s="15"/>
      <c r="F51" s="15"/>
      <c r="G51" s="9" t="str">
        <f>IF($H$49="No","Address Line 2:","")</f>
        <v/>
      </c>
      <c r="H51" s="25"/>
    </row>
    <row r="52" spans="2:8" x14ac:dyDescent="0.3">
      <c r="B52" s="5" t="str">
        <f>IF(OR(Home!$D$7="",Home!$D$8="No"),"",IF(ISBLANK(HLOOKUP(Home!$D$7,$D$2:$F$102,ROW(A51),FALSE)),"",IF(H52="",HLOOKUP(Home!$D$7,$D$2:$F$102,ROW(A51),FALSE),IF(C52=FALSE,"C"))))</f>
        <v/>
      </c>
      <c r="C52" s="5" t="b">
        <v>1</v>
      </c>
      <c r="D52" s="15" t="str">
        <f t="shared" ref="D52:D56" si="10">IF(COUNTIF($B$4:$B$7,"R")&gt;0,"",IF(OR($H$5="Yes",$H$49="Yes",$H$49=""),"Y","R"))</f>
        <v>Y</v>
      </c>
      <c r="E52" s="15"/>
      <c r="F52" s="15"/>
      <c r="G52" s="9" t="str">
        <f>IF($H$49="No","City:","")</f>
        <v/>
      </c>
      <c r="H52" s="25"/>
    </row>
    <row r="53" spans="2:8" x14ac:dyDescent="0.3">
      <c r="B53" s="5" t="str">
        <f>IF(OR(Home!$D$7="",Home!$D$8="No"),"",IF(ISBLANK(HLOOKUP(Home!$D$7,$D$2:$F$102,ROW(A52),FALSE)),"",IF(H53="",HLOOKUP(Home!$D$7,$D$2:$F$102,ROW(A52),FALSE),IF(C53=FALSE,"C"))))</f>
        <v/>
      </c>
      <c r="C53" s="5" t="b">
        <v>1</v>
      </c>
      <c r="D53" s="15" t="str">
        <f t="shared" si="10"/>
        <v>Y</v>
      </c>
      <c r="E53" s="15"/>
      <c r="F53" s="15"/>
      <c r="G53" s="9" t="str">
        <f>IF($H$49="No","State:","")</f>
        <v/>
      </c>
      <c r="H53" s="25"/>
    </row>
    <row r="54" spans="2:8" x14ac:dyDescent="0.3">
      <c r="B54" s="5" t="str">
        <f>IF(OR(Home!$D$7="",Home!$D$8="No"),"",IF(ISBLANK(HLOOKUP(Home!$D$7,$D$2:$F$102,ROW(A53),FALSE)),"",IF(H54="",HLOOKUP(Home!$D$7,$D$2:$F$102,ROW(A53),FALSE),IF(C54=FALSE,"C"))))</f>
        <v/>
      </c>
      <c r="C54" s="5" t="b">
        <v>1</v>
      </c>
      <c r="D54" s="15" t="str">
        <f t="shared" si="10"/>
        <v>Y</v>
      </c>
      <c r="E54" s="15"/>
      <c r="F54" s="15"/>
      <c r="G54" s="9" t="str">
        <f>IF($H$49="No","ZIP Code:","")</f>
        <v/>
      </c>
      <c r="H54" s="25"/>
    </row>
    <row r="55" spans="2:8" x14ac:dyDescent="0.3">
      <c r="B55" s="5" t="str">
        <f>IF(OR(Home!$D$7="",Home!$D$8="No"),"",IF(ISBLANK(HLOOKUP(Home!$D$7,$D$2:$F$102,ROW(A54),FALSE)),"",IF(H55="",HLOOKUP(Home!$D$7,$D$2:$F$102,ROW(A54),FALSE),IF(C55=FALSE,"C"))))</f>
        <v/>
      </c>
      <c r="C55" s="5" t="b">
        <f>AND(ISNUMBER(H55+0),LEFT(H55,1)="1")</f>
        <v>0</v>
      </c>
      <c r="D55" s="15" t="str">
        <f t="shared" si="10"/>
        <v>Y</v>
      </c>
      <c r="E55" s="15"/>
      <c r="F55" s="15"/>
      <c r="G55" s="9" t="str">
        <f>IF($H$49="No","Phone:","")</f>
        <v/>
      </c>
      <c r="H55" s="25"/>
    </row>
    <row r="56" spans="2:8" x14ac:dyDescent="0.3">
      <c r="B56" s="5" t="str">
        <f>IF(OR(Home!$D$7="",Home!$D$8="No"),"",IF(ISBLANK(HLOOKUP(Home!$D$7,$D$2:$F$102,ROW(A55),FALSE)),"",IF(H56="",HLOOKUP(Home!$D$7,$D$2:$F$102,ROW(A55),FALSE),IF(C56=FALSE,"C"))))</f>
        <v/>
      </c>
      <c r="C56" s="5" t="b">
        <f>IF(H56="",TRUE,ISNUMBER(FIND("@",H56,1)+FIND(".",H56,1)))</f>
        <v>1</v>
      </c>
      <c r="D56" s="15" t="str">
        <f t="shared" si="10"/>
        <v>Y</v>
      </c>
      <c r="E56" s="15"/>
      <c r="F56" s="15"/>
      <c r="G56" s="9" t="str">
        <f>IF($H$49="No","Email:","")</f>
        <v/>
      </c>
      <c r="H56" s="25"/>
    </row>
    <row r="57" spans="2:8" ht="23.25" customHeight="1" x14ac:dyDescent="0.3">
      <c r="B57" s="5" t="str">
        <f>IF(OR(Home!$D$7="",Home!$D$8="No"),"",IF(ISBLANK(HLOOKUP(Home!$D$7,$D$2:$F$102,ROW(A56),FALSE)),"",IF(H57="",HLOOKUP(Home!$D$7,$D$2:$F$102,ROW(A56),FALSE),IF(C57=FALSE,"C"))))</f>
        <v/>
      </c>
      <c r="C57" s="5" t="b">
        <v>1</v>
      </c>
      <c r="D57" s="15" t="str">
        <f t="shared" ref="D57:D58" si="11">IF(COUNTIF($B$4:$B$7,"R")&gt;0,"","Y")</f>
        <v>Y</v>
      </c>
      <c r="E57" s="15"/>
      <c r="F57" s="15"/>
      <c r="G57" s="48" t="s">
        <v>23</v>
      </c>
      <c r="H57" s="53"/>
    </row>
    <row r="58" spans="2:8" x14ac:dyDescent="0.3">
      <c r="B58" s="5" t="str">
        <f>IF(OR(Home!$D$7="",Home!$D$8="No"),"",IF(ISBLANK(HLOOKUP(Home!$D$7,$D$2:$F$102,ROW(A57),FALSE)),"",IF(H58="",HLOOKUP(Home!$D$7,$D$2:$F$102,ROW(A57),FALSE),IF(C58=FALSE,"C"))))</f>
        <v/>
      </c>
      <c r="C58" s="5" t="b">
        <v>1</v>
      </c>
      <c r="D58" s="15" t="str">
        <f t="shared" si="11"/>
        <v>Y</v>
      </c>
      <c r="E58" s="15"/>
      <c r="F58" s="15"/>
      <c r="G58" s="59" t="s">
        <v>66</v>
      </c>
      <c r="H58" s="60"/>
    </row>
    <row r="59" spans="2:8" ht="43.2" x14ac:dyDescent="0.3">
      <c r="B59" s="5" t="str">
        <f>IF(OR(Home!$D$7="",Home!$D$8="No"),"",IF(ISBLANK(HLOOKUP(Home!$D$7,$D$2:$F$102,ROW(A58),FALSE)),"",IF(H59="",HLOOKUP(Home!$D$7,$D$2:$F$102,ROW(A58),FALSE),IF(C59=FALSE,"C"))))</f>
        <v/>
      </c>
      <c r="C59" s="5" t="b">
        <v>1</v>
      </c>
      <c r="D59" s="15" t="str">
        <f t="shared" ref="D59:D64" si="12">IF(COUNTIF($B$4:$B$7,"R")&gt;0,"",IF($H$5="Yes","Y","R"))</f>
        <v>R</v>
      </c>
      <c r="E59" s="15"/>
      <c r="F59" s="15"/>
      <c r="G59" s="9" t="s">
        <v>67</v>
      </c>
      <c r="H59" s="25"/>
    </row>
    <row r="60" spans="2:8" ht="86.4" x14ac:dyDescent="0.3">
      <c r="B60" s="5" t="str">
        <f>IF(OR(Home!$D$7="",Home!$D$8="No"),"",IF(ISBLANK(HLOOKUP(Home!$D$7,$D$2:$F$102,ROW(A59),FALSE)),"",IF(H60="",HLOOKUP(Home!$D$7,$D$2:$F$102,ROW(A59),FALSE),IF(C60=FALSE,"C"))))</f>
        <v/>
      </c>
      <c r="C60" s="5" t="b">
        <v>1</v>
      </c>
      <c r="D60" s="15" t="str">
        <f t="shared" si="12"/>
        <v>R</v>
      </c>
      <c r="E60" s="15"/>
      <c r="F60" s="15"/>
      <c r="G60" s="9" t="s">
        <v>68</v>
      </c>
      <c r="H60" s="25"/>
    </row>
    <row r="61" spans="2:8" ht="43.2" x14ac:dyDescent="0.3">
      <c r="B61" s="5" t="str">
        <f>IF(OR(Home!$D$7="",Home!$D$8="No"),"",IF(ISBLANK(HLOOKUP(Home!$D$7,$D$2:$F$102,ROW(A60),FALSE)),"",IF(H61="",HLOOKUP(Home!$D$7,$D$2:$F$102,ROW(A60),FALSE),IF(C61=FALSE,"C"))))</f>
        <v/>
      </c>
      <c r="C61" s="5" t="b">
        <v>1</v>
      </c>
      <c r="D61" s="15" t="str">
        <f t="shared" si="12"/>
        <v>R</v>
      </c>
      <c r="E61" s="15"/>
      <c r="F61" s="15"/>
      <c r="G61" s="9" t="s">
        <v>69</v>
      </c>
      <c r="H61" s="25"/>
    </row>
    <row r="62" spans="2:8" ht="86.4" x14ac:dyDescent="0.3">
      <c r="B62" s="5" t="str">
        <f>IF(OR(Home!$D$7="",Home!$D$8="No"),"",IF(ISBLANK(HLOOKUP(Home!$D$7,$D$2:$F$102,ROW(A61),FALSE)),"",IF(H62="",HLOOKUP(Home!$D$7,$D$2:$F$102,ROW(A61),FALSE),IF(C62=FALSE,"C"))))</f>
        <v/>
      </c>
      <c r="C62" s="5" t="b">
        <v>1</v>
      </c>
      <c r="D62" s="15" t="str">
        <f t="shared" si="12"/>
        <v>R</v>
      </c>
      <c r="E62" s="15"/>
      <c r="F62" s="15"/>
      <c r="G62" s="9" t="s">
        <v>70</v>
      </c>
      <c r="H62" s="25"/>
    </row>
    <row r="63" spans="2:8" x14ac:dyDescent="0.3">
      <c r="B63" s="5" t="str">
        <f>IF(OR(Home!$D$7="",Home!$D$8="No"),"",IF(ISBLANK(HLOOKUP(Home!$D$7,$D$2:$F$102,ROW(A62),FALSE)),"",IF(H63="",HLOOKUP(Home!$D$7,$D$2:$F$102,ROW(A62),FALSE),IF(C63=FALSE,"C"))))</f>
        <v/>
      </c>
      <c r="C63" s="5" t="b">
        <v>1</v>
      </c>
      <c r="D63" s="15" t="str">
        <f t="shared" si="12"/>
        <v>R</v>
      </c>
      <c r="E63" s="15"/>
      <c r="F63" s="15"/>
      <c r="G63" s="9" t="str">
        <f>IF(Home!$D$7="Company","5. Are you or any Officer, Owner or Partner in this company an employee of Emory University?",IF(Home!$D$7="Individual","5. Are you an employee of Emory University?",""))</f>
        <v/>
      </c>
      <c r="H63" s="25"/>
    </row>
    <row r="64" spans="2:8" ht="76.2" customHeight="1" x14ac:dyDescent="0.3">
      <c r="B64" s="5" t="str">
        <f>IF(OR(Home!$D$7="",Home!$D$8="No"),"",IF(ISBLANK(HLOOKUP(Home!$D$7,$D$2:$F$102,ROW(A63),FALSE)),"",IF(H64="",HLOOKUP(Home!$D$7,$D$2:$F$102,ROW(A63),FALSE),IF(C64=FALSE,"C"))))</f>
        <v/>
      </c>
      <c r="C64" s="5" t="b">
        <v>1</v>
      </c>
      <c r="D64" s="15" t="str">
        <f t="shared" si="12"/>
        <v>R</v>
      </c>
      <c r="E64" s="15"/>
      <c r="F64" s="15"/>
      <c r="G64" s="35" t="str">
        <f>HYPERLINK("https://emory.ellucid.com/documents/view/17693/?security=353f1df192117ef8139f94032abe5f3cd53a8395",CONCATENATE("6. Is a direct family member of any of the above an Emory University employee (spouse, partner, etc.)?"," Any existing or proposed relationship, transaction, or other event which may raise a conflict of interest is to be disclosed. For detail, click here:"))</f>
        <v>6. Is a direct family member of any of the above an Emory University employee (spouse, partner, etc.)? Any existing or proposed relationship, transaction, or other event which may raise a conflict of interest is to be disclosed. For detail, click here:</v>
      </c>
      <c r="H64" s="25"/>
    </row>
    <row r="65" spans="2:8" ht="30.75" customHeight="1" x14ac:dyDescent="0.3">
      <c r="B65" s="5" t="str">
        <f>IF(OR(Home!$D$7="",Home!$D$8="No"),"",IF(ISBLANK(HLOOKUP(Home!$D$7,$D$2:$F$102,ROW(A64),FALSE)),"",IF(H65="",HLOOKUP(Home!$D$7,$D$2:$F$102,ROW(A64),FALSE),IF(C65=FALSE,"C"))))</f>
        <v/>
      </c>
      <c r="C65" s="5" t="b">
        <v>1</v>
      </c>
      <c r="D65" s="15" t="str">
        <f>IF(COUNTIF($B$4:$B$7,"R")&gt;0,"",IF($H$64="Yes","R","Y"))</f>
        <v>Y</v>
      </c>
      <c r="E65" s="15"/>
      <c r="F65" s="15"/>
      <c r="G65" s="9" t="str">
        <f>IF($H$64="Yes","6a. Please provide the name of the direct family member who is an Emory University employee:","")</f>
        <v/>
      </c>
      <c r="H65" s="25"/>
    </row>
    <row r="66" spans="2:8" ht="30.75" customHeight="1" x14ac:dyDescent="0.3">
      <c r="B66" s="5" t="str">
        <f>IF(OR(Home!$D$7="",Home!$D$8="No"),"",IF(ISBLANK(HLOOKUP(Home!$D$7,$D$2:$F$102,ROW(A65),FALSE)),"",IF(H66="",HLOOKUP(Home!$D$7,$D$2:$F$102,ROW(A65),FALSE),IF(C66=FALSE,"C"))))</f>
        <v/>
      </c>
      <c r="C66" s="5" t="b">
        <v>1</v>
      </c>
      <c r="D66" s="15" t="str">
        <f>IF(COUNTIF($B$4:$B$7,"R")&gt;0,"",IF($H$64="Yes","R","Y"))</f>
        <v>Y</v>
      </c>
      <c r="E66" s="15"/>
      <c r="F66" s="15"/>
      <c r="G66" s="9" t="str">
        <f>IF($H$64="Yes","6b. Please provide the relationship of the direct family member to the Emory University Employee:","")</f>
        <v/>
      </c>
      <c r="H66" s="25"/>
    </row>
    <row r="67" spans="2:8" ht="72" x14ac:dyDescent="0.3">
      <c r="B67" s="5" t="str">
        <f>IF(OR(Home!$D$7="",Home!$D$8="No"),"",IF(ISBLANK(HLOOKUP(Home!$D$7,$D$2:$F$102,ROW(A66),FALSE)),"",IF(H67="",HLOOKUP(Home!$D$7,$D$2:$F$102,ROW(A66),FALSE),IF(C67=FALSE,"C"))))</f>
        <v/>
      </c>
      <c r="C67" s="5" t="b">
        <v>1</v>
      </c>
      <c r="D67" s="15" t="str">
        <f>IF(COUNTIF($B$4:$B$7,"R")&gt;0,"",IF($H$5="Yes","Y","R"))</f>
        <v>R</v>
      </c>
      <c r="E67" s="13"/>
      <c r="F67" s="15"/>
      <c r="G67" s="9" t="s">
        <v>71</v>
      </c>
      <c r="H67" s="25"/>
    </row>
    <row r="68" spans="2:8" ht="45.75" customHeight="1" x14ac:dyDescent="0.3">
      <c r="B68" s="5" t="str">
        <f>IF(OR(Home!$D$7="",Home!$D$8="No"),"",IF(ISBLANK(HLOOKUP(Home!$D$7,$D$2:$F$102,ROW(A67),FALSE)),"",IF(H68="",HLOOKUP(Home!$D$7,$D$2:$F$102,ROW(A67),FALSE),IF(C68=FALSE,"C"))))</f>
        <v/>
      </c>
      <c r="C68" s="5" t="b">
        <f>IF(H68="",TRUE,ISNUMBER(FIND("@",H68,1)+FIND(".",H68,1)))</f>
        <v>1</v>
      </c>
      <c r="D68" s="15" t="str">
        <f>IF(COUNTIF($B$4:$B$7,"R")&gt;0,"",IF($H$67='Drop Down'!$D$2,"R","Y"))</f>
        <v>Y</v>
      </c>
      <c r="E68" s="13"/>
      <c r="F68" s="15"/>
      <c r="G68" s="9" t="str">
        <f>IF($H$67='Drop Down'!$D$2,"7a. Please provide the email address where you would want us to send the notification of our payment to you for SUA Payments.","")</f>
        <v/>
      </c>
      <c r="H68" s="26"/>
    </row>
    <row r="69" spans="2:8" ht="30" customHeight="1" x14ac:dyDescent="0.3">
      <c r="B69" s="5" t="str">
        <f>IF(OR(Home!$D$7="",Home!$D$8="No"),"",IF(ISBLANK(HLOOKUP(Home!$D$7,$D$2:$F$102,ROW(A68),FALSE)),"",IF(H69="",HLOOKUP(Home!$D$7,$D$2:$F$102,ROW(A68),FALSE),IF(C69=FALSE,"C"))))</f>
        <v/>
      </c>
      <c r="C69" s="5" t="b">
        <v>1</v>
      </c>
      <c r="D69" s="15" t="str">
        <f>IF(COUNTIF($B$4:$B$7,"R")&gt;0,"",IF($H$67='Drop Down'!$D$5,"R","Y"))</f>
        <v>Y</v>
      </c>
      <c r="E69" s="13"/>
      <c r="F69" s="15"/>
      <c r="G69" s="9" t="str">
        <f>IF($H$67='Drop Down'!$D$5,"7b. Please specify the payment terms that is stated in the contract with Emory.","")</f>
        <v/>
      </c>
      <c r="H69" s="37"/>
    </row>
    <row r="70" spans="2:8" ht="46.2" customHeight="1" x14ac:dyDescent="0.3">
      <c r="B70" s="5" t="str">
        <f>IF(OR(Home!$D$7="",Home!$D$8="No"),"",IF(ISBLANK(HLOOKUP(Home!$D$7,$D$2:$F$102,ROW(A69),FALSE)),"",IF(H70="",HLOOKUP(Home!$D$7,$D$2:$F$102,ROW(A69),FALSE),IF(C70=FALSE,"C"))))</f>
        <v/>
      </c>
      <c r="C70" s="5" t="b">
        <v>1</v>
      </c>
      <c r="D70" s="15" t="str">
        <f>IF(COUNTIF($B$4:$B$7,"R")&gt;0,"",IF($H$67='Drop Down'!$D$5,"R","Y"))</f>
        <v>Y</v>
      </c>
      <c r="E70" s="13"/>
      <c r="F70" s="15"/>
      <c r="G70" s="9" t="str">
        <f>IF($H$67='Drop Down'!$D$5,"7c. When submitting this form, please validate you will submit a copy of the fully executed contract containing the payment term language.","")</f>
        <v/>
      </c>
      <c r="H70" s="37"/>
    </row>
    <row r="71" spans="2:8" ht="32.4" customHeight="1" x14ac:dyDescent="0.3">
      <c r="B71" s="5" t="str">
        <f>IF(OR(Home!$D$7="",Home!$D$8="No"),"",IF(ISBLANK(HLOOKUP(Home!$D$7,$D$2:$F$102,ROW(A70),FALSE)),"",IF(H71="",HLOOKUP(Home!$D$7,$D$2:$F$102,ROW(A70),FALSE),IF(C71=FALSE,"C"))))</f>
        <v/>
      </c>
      <c r="C71" s="5" t="b">
        <v>1</v>
      </c>
      <c r="D71" s="15" t="str">
        <f>IF(COUNTIF($B$4:$B$7,"R")&gt;0,"",IF($H$67='Drop Down'!$D$5,"R","Y"))</f>
        <v>Y</v>
      </c>
      <c r="E71" s="13"/>
      <c r="F71" s="15"/>
      <c r="G71" s="9" t="str">
        <f>IF($H$67='Drop Down'!$D$5,"7d. Please indicate what page number within the fully executed contract, the payment terms can be found.","")</f>
        <v/>
      </c>
      <c r="H71" s="36"/>
    </row>
    <row r="72" spans="2:8" ht="70.2" customHeight="1" x14ac:dyDescent="0.3">
      <c r="B72" s="5" t="str">
        <f>IF(OR(Home!$D$7="",Home!$D$8="No"),"",IF(ISBLANK(HLOOKUP(Home!$D$7,$D$2:$F$102,ROW(A71),FALSE)),"",IF(H72="",HLOOKUP(Home!$D$7,$D$2:$F$102,ROW(A71),FALSE),IF(C72=FALSE,"C"))))</f>
        <v/>
      </c>
      <c r="C72" s="5" t="b">
        <v>1</v>
      </c>
      <c r="D72" s="15" t="str">
        <f>IF(COUNTIF($B$4:$B$7,"R")&gt;0,"",IF(OR($H$5="Yes",$H$67="",RIGHT($H$67,8)="Program."),"Y","R"))</f>
        <v>Y</v>
      </c>
      <c r="E72" s="15"/>
      <c r="F72" s="15"/>
      <c r="G72" s="9" t="str">
        <f>IF(AND(Home!$D$7="Company",OR($H$67="",RIGHT($H$67,8)="Program.")),"",CONCATENATE("8. Do you want to be paid via ACH/Direct Deposit? If No is selected, payment will be remitted via check sent to the billing address provided above."," Please note that payments via check take significantly longer to process in comparision to ACH/Direct Deposit."))</f>
        <v>8. Do you want to be paid via ACH/Direct Deposit? If No is selected, payment will be remitted via check sent to the billing address provided above. Please note that payments via check take significantly longer to process in comparision to ACH/Direct Deposit.</v>
      </c>
      <c r="H72" s="25"/>
    </row>
    <row r="73" spans="2:8" ht="72" x14ac:dyDescent="0.3">
      <c r="B73" s="5" t="str">
        <f>IF(OR(Home!$D$7="",Home!$D$8="No"),"",IF(ISBLANK(HLOOKUP(Home!$D$7,$D$2:$F$102,ROW(A72),FALSE)),"",IF(H73="",HLOOKUP(Home!$D$7,$D$2:$F$102,ROW(A72),FALSE),IF(C73=FALSE,"C"))))</f>
        <v/>
      </c>
      <c r="C73" s="5" t="b">
        <v>1</v>
      </c>
      <c r="D73" s="15" t="str">
        <f>IF(COUNTIF($B$4:$B$7,"R")&gt;0,"",IF($H$5="Yes","Y","R"))</f>
        <v>R</v>
      </c>
      <c r="E73" s="13"/>
      <c r="F73" s="15"/>
      <c r="G73" s="9" t="s">
        <v>72</v>
      </c>
      <c r="H73" s="25"/>
    </row>
    <row r="74" spans="2:8" ht="43.2" x14ac:dyDescent="0.3">
      <c r="B74" s="5" t="str">
        <f>IF(OR(Home!$D$7="",Home!$D$8="No"),"",IF(ISBLANK(HLOOKUP(Home!$D$7,$D$2:$F$102,ROW(A73),FALSE)),"",IF(H74="",HLOOKUP(Home!$D$7,$D$2:$F$102,ROW(A73),FALSE),IF(C74=FALSE,"C"))))</f>
        <v/>
      </c>
      <c r="C74" s="5" t="b">
        <v>1</v>
      </c>
      <c r="D74" s="15" t="str">
        <f t="shared" ref="D74:D76" si="13">IF(COUNTIF($B$4:$B$7,"R")&gt;0,"",IF($H$5="Yes","Y","R"))</f>
        <v>R</v>
      </c>
      <c r="E74" s="15"/>
      <c r="F74" s="15"/>
      <c r="G74" s="9" t="s">
        <v>73</v>
      </c>
      <c r="H74" s="25"/>
    </row>
    <row r="75" spans="2:8" ht="155.25" customHeight="1" x14ac:dyDescent="0.3">
      <c r="B75" s="5" t="str">
        <f>IF(OR(Home!$D$7="",Home!$D$8="No"),"",IF(ISBLANK(HLOOKUP(Home!$D$7,$D$2:$F$102,ROW(A74),FALSE)),"",IF(H75="",HLOOKUP(Home!$D$7,$D$2:$F$102,ROW(A74),FALSE),IF(C75=FALSE,"C"))))</f>
        <v/>
      </c>
      <c r="C75" s="1" t="b">
        <v>1</v>
      </c>
      <c r="D75" s="15" t="str">
        <f t="shared" si="13"/>
        <v>R</v>
      </c>
      <c r="E75" s="15"/>
      <c r="F75" s="15"/>
      <c r="G75"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5" s="32"/>
    </row>
    <row r="76" spans="2:8" ht="19.5" customHeight="1" x14ac:dyDescent="0.3">
      <c r="B76" s="5" t="str">
        <f>IF(OR(Home!$D$7="",Home!$D$8="No"),"",IF(ISBLANK(HLOOKUP(Home!$D$7,$D$2:$F$102,ROW(A75),FALSE)),"",IF(H76="",HLOOKUP(Home!$D$7,$D$2:$F$102,ROW(A75),FALSE),IF(C76=FALSE,"C"))))</f>
        <v/>
      </c>
      <c r="C76" s="5" t="b">
        <v>1</v>
      </c>
      <c r="D76" s="15" t="str">
        <f t="shared" si="13"/>
        <v>R</v>
      </c>
      <c r="E76" s="15"/>
      <c r="F76" s="15"/>
      <c r="G76" s="9" t="s">
        <v>25</v>
      </c>
      <c r="H76" s="27"/>
    </row>
    <row r="77" spans="2:8" ht="15" customHeight="1" x14ac:dyDescent="0.3">
      <c r="B77" s="5" t="str">
        <f>IF(OR(Home!$D$7="",Home!$D$8="No"),"",IF(ISBLANK(HLOOKUP(Home!$D$7,$D$2:$F$102,ROW(A76),FALSE)),"",IF(H77="",HLOOKUP(Home!$D$7,$D$2:$F$102,ROW(A76),FALSE),IF(C77=FALSE,"C"))))</f>
        <v/>
      </c>
      <c r="C77" s="5" t="b">
        <v>1</v>
      </c>
      <c r="D77" s="15" t="str">
        <f t="shared" ref="D77" si="14">IF(COUNTIF($B$4:$B$7,"R")&gt;0,"","Y")</f>
        <v>Y</v>
      </c>
      <c r="E77" s="15"/>
      <c r="F77" s="15"/>
      <c r="G77" s="48"/>
      <c r="H77" s="53"/>
    </row>
    <row r="78" spans="2:8" ht="25.8" x14ac:dyDescent="0.3">
      <c r="B78" s="5" t="str">
        <f>IF(OR(Home!$D$7="",Home!$D$8="No"),"",IF(ISBLANK(HLOOKUP(Home!$D$7,$D$2:$F$102,ROW(A77),FALSE)),"",IF(H78="",HLOOKUP(Home!$D$7,$D$2:$F$102,ROW(A77),FALSE),IF(C78=FALSE,"C"))))</f>
        <v/>
      </c>
      <c r="C78" s="1" t="b">
        <v>1</v>
      </c>
      <c r="D78" s="16" t="str">
        <f>IF(COUNTIF($B$4:$B$7,"R")&gt;0,"",IF(OR($H$5="Yes",$H$72="Yes"),"Y",""))</f>
        <v/>
      </c>
      <c r="E78" s="16"/>
      <c r="F78" s="14"/>
      <c r="G78" s="56" t="s">
        <v>74</v>
      </c>
      <c r="H78" s="56"/>
    </row>
    <row r="79" spans="2:8" x14ac:dyDescent="0.3">
      <c r="B79" s="5" t="str">
        <f>IF(OR(Home!$D$7="",Home!$D$8="No"),"",IF(ISBLANK(HLOOKUP(Home!$D$7,$D$2:$F$102,ROW(A78),FALSE)),"",IF(H79="",HLOOKUP(Home!$D$7,$D$2:$F$102,ROW(A78),FALSE),IF(C79=FALSE,"C"))))</f>
        <v/>
      </c>
      <c r="C79" s="1" t="b">
        <v>1</v>
      </c>
      <c r="D79" s="16" t="str">
        <f>IF(COUNTIF($B$4:$B$7,"R")&gt;0,"",IF(OR($H$5="Yes",$H$72="Yes"),"Y",""))</f>
        <v/>
      </c>
      <c r="E79" s="16"/>
      <c r="F79" s="14"/>
      <c r="G79" s="57" t="str">
        <f>Home!D7&amp;" Information"</f>
        <v xml:space="preserve"> Information</v>
      </c>
      <c r="H79" s="58"/>
    </row>
    <row r="80" spans="2:8" x14ac:dyDescent="0.3">
      <c r="B80" s="5" t="str">
        <f>IF(OR(Home!$D$7="",Home!$D$8="No"),"",IF(ISBLANK(HLOOKUP(Home!$D$7,$D$2:$F$102,ROW(A79),FALSE)),"",IF(H80="",HLOOKUP(Home!$D$7,$D$2:$F$102,ROW(A79),FALSE),IF(C80=FALSE,"C"))))</f>
        <v/>
      </c>
      <c r="C80" s="1" t="b">
        <v>1</v>
      </c>
      <c r="D80" s="16" t="str">
        <f>IF(COUNTIF($B$4:$B$7,"R")&gt;0,"",IF(OR($H$5="Yes",$H$72="Yes"),"R",""))</f>
        <v/>
      </c>
      <c r="E80" s="16"/>
      <c r="F80" s="14"/>
      <c r="G80" s="3" t="str">
        <f>Home!D7&amp;" Name:"</f>
        <v xml:space="preserve"> Name:</v>
      </c>
      <c r="H80" s="25"/>
    </row>
    <row r="81" spans="2:8" x14ac:dyDescent="0.3">
      <c r="B81" s="5" t="str">
        <f>IF(OR(Home!$D$7="",Home!$D$8="No"),"",IF(ISBLANK(HLOOKUP(Home!$D$7,$D$2:$F$102,ROW(A80),FALSE)),"",IF(H81="",HLOOKUP(Home!$D$7,$D$2:$F$102,ROW(A80),FALSE),IF(C81=FALSE,"C"))))</f>
        <v/>
      </c>
      <c r="C81" s="1" t="b">
        <v>1</v>
      </c>
      <c r="D81" s="16" t="str">
        <f t="shared" ref="D81:D86" si="15">IF(COUNTIF($B$4:$B$7,"R")&gt;0,"",IF(OR($H$5="Yes",$H$72="Yes"),"R",""))</f>
        <v/>
      </c>
      <c r="E81" s="14"/>
      <c r="F81" s="14"/>
      <c r="G81" s="3" t="str">
        <f>Home!D7&amp;" Division Name:"</f>
        <v xml:space="preserve"> Division Name:</v>
      </c>
      <c r="H81" s="25"/>
    </row>
    <row r="82" spans="2:8" x14ac:dyDescent="0.3">
      <c r="B82" s="5" t="str">
        <f>IF(OR(Home!$D$7="",Home!$D$8="No"),"",IF(ISBLANK(HLOOKUP(Home!$D$7,$D$2:$F$102,ROW(A81),FALSE)),"",IF(H82="",HLOOKUP(Home!$D$7,$D$2:$F$102,ROW(A81),FALSE),IF(C82=FALSE,"C"))))</f>
        <v/>
      </c>
      <c r="C82" s="5" t="b">
        <f>ISNUMBER(H82+0)</f>
        <v>1</v>
      </c>
      <c r="D82" s="16" t="str">
        <f t="shared" si="15"/>
        <v/>
      </c>
      <c r="E82" s="13"/>
      <c r="F82" s="13"/>
      <c r="G82" s="9" t="s">
        <v>52</v>
      </c>
      <c r="H82" s="25"/>
    </row>
    <row r="83" spans="2:8" x14ac:dyDescent="0.3">
      <c r="B83" s="5" t="str">
        <f>IF(OR(Home!$D$7="",Home!$D$8="No"),"",IF(ISBLANK(HLOOKUP(Home!$D$7,$D$2:$F$102,ROW(A82),FALSE)),"",IF(H83="",HLOOKUP(Home!$D$7,$D$2:$F$102,ROW(A82),FALSE),IF(C83=FALSE,"C"))))</f>
        <v/>
      </c>
      <c r="C83" s="5" t="b">
        <f>ISNUMBER(H83+0)</f>
        <v>1</v>
      </c>
      <c r="D83" s="16" t="str">
        <f t="shared" si="15"/>
        <v/>
      </c>
      <c r="E83" s="16"/>
      <c r="F83" s="15"/>
      <c r="G83" s="9" t="str">
        <f>IF(OR(Home!$D$7="Study Participant",Home!$D$7="Individual"),"Social Security Number (9 Digits):","Taxpayer Identification Number (9 Digits):")</f>
        <v>Taxpayer Identification Number (9 Digits):</v>
      </c>
      <c r="H83" s="25"/>
    </row>
    <row r="84" spans="2:8" x14ac:dyDescent="0.3">
      <c r="B84" s="5" t="str">
        <f>IF(OR(Home!$D$7="",Home!$D$8="No"),"",IF(ISBLANK(HLOOKUP(Home!$D$7,$D$2:$F$102,ROW(A83),FALSE)),"",IF(H84="",HLOOKUP(Home!$D$7,$D$2:$F$102,ROW(A83),FALSE),IF(C84=FALSE,"C"))))</f>
        <v/>
      </c>
      <c r="C84" s="5" t="b">
        <v>1</v>
      </c>
      <c r="D84" s="16" t="str">
        <f t="shared" si="15"/>
        <v/>
      </c>
      <c r="E84" s="16"/>
      <c r="F84" s="14"/>
      <c r="G84" s="3" t="str">
        <f>Home!D7&amp;" ACH Remittance Contact Name:"</f>
        <v xml:space="preserve"> ACH Remittance Contact Name:</v>
      </c>
      <c r="H84" s="25"/>
    </row>
    <row r="85" spans="2:8" x14ac:dyDescent="0.3">
      <c r="B85" s="5" t="str">
        <f>IF(OR(Home!$D$7="",Home!$D$8="No"),"",IF(ISBLANK(HLOOKUP(Home!$D$7,$D$2:$F$102,ROW(A84),FALSE)),"",IF(H85="",HLOOKUP(Home!$D$7,$D$2:$F$102,ROW(A84),FALSE),IF(C85=FALSE,"C"))))</f>
        <v/>
      </c>
      <c r="C85" s="5" t="b">
        <f>AND(ISNUMBER(H85+0),LEFT(H85,1)="1")</f>
        <v>0</v>
      </c>
      <c r="D85" s="16" t="str">
        <f t="shared" si="15"/>
        <v/>
      </c>
      <c r="E85" s="16"/>
      <c r="F85" s="14"/>
      <c r="G85" s="3" t="str">
        <f>Home!D7&amp;" ACH Remittance Contact Phone:"</f>
        <v xml:space="preserve"> ACH Remittance Contact Phone:</v>
      </c>
      <c r="H85" s="25"/>
    </row>
    <row r="86" spans="2:8" x14ac:dyDescent="0.3">
      <c r="B86" s="5" t="str">
        <f>IF(OR(Home!$D$7="",Home!$D$8="No"),"",IF(ISBLANK(HLOOKUP(Home!$D$7,$D$2:$F$102,ROW(A85),FALSE)),"",IF(H86="",HLOOKUP(Home!$D$7,$D$2:$F$102,ROW(A85),FALSE),IF(C86=FALSE,"C"))))</f>
        <v/>
      </c>
      <c r="C86" s="5" t="b">
        <f>IF(H86="",TRUE,ISNUMBER(FIND("@",H86,1)+FIND(".",H86,1)))</f>
        <v>1</v>
      </c>
      <c r="D86" s="16" t="str">
        <f t="shared" si="15"/>
        <v/>
      </c>
      <c r="E86" s="16"/>
      <c r="F86" s="14"/>
      <c r="G86" s="3" t="str">
        <f>Home!D7&amp;" ACH Remittance Email:"</f>
        <v xml:space="preserve"> ACH Remittance Email:</v>
      </c>
      <c r="H86" s="26"/>
    </row>
    <row r="87" spans="2:8" x14ac:dyDescent="0.3">
      <c r="B87" s="5" t="str">
        <f>IF(OR(Home!$D$7="",Home!$D$8="No"),"",IF(ISBLANK(HLOOKUP(Home!$D$7,$D$2:$F$102,ROW(A86),FALSE)),"",IF(H87="",HLOOKUP(Home!$D$7,$D$2:$F$102,ROW(A86),FALSE),IF(C87=FALSE,"C"))))</f>
        <v/>
      </c>
      <c r="C87" s="1" t="b">
        <v>1</v>
      </c>
      <c r="D87" s="16" t="str">
        <f>IF(COUNTIF($B$4:$B$7,"R")&gt;0,"",IF(OR($H$5="Yes",$H$72="Yes"),"Y",""))</f>
        <v/>
      </c>
      <c r="E87" s="16"/>
      <c r="F87" s="14"/>
      <c r="G87" s="57" t="str">
        <f>Home!D7&amp;" Remittance Address"</f>
        <v xml:space="preserve"> Remittance Address</v>
      </c>
      <c r="H87" s="58"/>
    </row>
    <row r="88" spans="2:8" x14ac:dyDescent="0.3">
      <c r="B88" s="5" t="str">
        <f>IF(OR(Home!$D$7="",Home!$D$8="No"),"",IF(ISBLANK(HLOOKUP(Home!$D$7,$D$2:$F$102,ROW(A87),FALSE)),"",IF(H88="",HLOOKUP(Home!$D$7,$D$2:$F$102,ROW(A87),FALSE),IF(C88=FALSE,"C"))))</f>
        <v/>
      </c>
      <c r="C88" s="5" t="b">
        <v>1</v>
      </c>
      <c r="D88" s="16" t="str">
        <f>IF(COUNTIF($B$4:$B$7,"R")&gt;0,"",IF(OR($H$5="Yes",$H$72="Yes"),"R",""))</f>
        <v/>
      </c>
      <c r="E88" s="16"/>
      <c r="F88" s="14"/>
      <c r="G88" s="3" t="str">
        <f>Home!D7&amp;" Remittance Address Line 1:"</f>
        <v xml:space="preserve"> Remittance Address Line 1:</v>
      </c>
      <c r="H88" s="25"/>
    </row>
    <row r="89" spans="2:8" x14ac:dyDescent="0.3">
      <c r="B89" s="5" t="str">
        <f>IF(OR(Home!$D$7="",Home!$D$8="No"),"",IF(ISBLANK(HLOOKUP(Home!$D$7,$D$2:$F$102,ROW(A88),FALSE)),"",IF(H89="",HLOOKUP(Home!$D$7,$D$2:$F$102,ROW(A88),FALSE),IF(C89=FALSE,"C"))))</f>
        <v/>
      </c>
      <c r="C89" s="5" t="b">
        <v>1</v>
      </c>
      <c r="D89" s="16" t="str">
        <f>IF(COUNTIF($B$4:$B$7,"R")&gt;0,"",IF(OR($H$5="Yes",$H$72="Yes"),"Y",""))</f>
        <v/>
      </c>
      <c r="E89" s="16"/>
      <c r="F89" s="14"/>
      <c r="G89" s="3" t="str">
        <f>Home!D7&amp;" Remittance Address Line 2:"</f>
        <v xml:space="preserve"> Remittance Address Line 2:</v>
      </c>
      <c r="H89" s="25"/>
    </row>
    <row r="90" spans="2:8" x14ac:dyDescent="0.3">
      <c r="B90" s="5" t="str">
        <f>IF(OR(Home!$D$7="",Home!$D$8="No"),"",IF(ISBLANK(HLOOKUP(Home!$D$7,$D$2:$F$102,ROW(A89),FALSE)),"",IF(H90="",HLOOKUP(Home!$D$7,$D$2:$F$102,ROW(A89),FALSE),IF(C90=FALSE,"C"))))</f>
        <v/>
      </c>
      <c r="C90" s="5" t="b">
        <v>1</v>
      </c>
      <c r="D90" s="16" t="str">
        <f t="shared" ref="D90:D92" si="16">IF(COUNTIF($B$4:$B$7,"R")&gt;0,"",IF(OR($H$5="Yes",$H$72="Yes"),"R",""))</f>
        <v/>
      </c>
      <c r="E90" s="16"/>
      <c r="F90" s="14"/>
      <c r="G90" s="3" t="s">
        <v>57</v>
      </c>
      <c r="H90" s="25"/>
    </row>
    <row r="91" spans="2:8" x14ac:dyDescent="0.3">
      <c r="B91" s="5" t="str">
        <f>IF(OR(Home!$D$7="",Home!$D$8="No"),"",IF(ISBLANK(HLOOKUP(Home!$D$7,$D$2:$F$102,ROW(A90),FALSE)),"",IF(H91="",HLOOKUP(Home!$D$7,$D$2:$F$102,ROW(A90),FALSE),IF(C91=FALSE,"C"))))</f>
        <v/>
      </c>
      <c r="C91" s="5" t="b">
        <v>1</v>
      </c>
      <c r="D91" s="16" t="str">
        <f t="shared" si="16"/>
        <v/>
      </c>
      <c r="E91" s="16"/>
      <c r="F91" s="14"/>
      <c r="G91" s="3" t="s">
        <v>58</v>
      </c>
      <c r="H91" s="25"/>
    </row>
    <row r="92" spans="2:8" x14ac:dyDescent="0.3">
      <c r="B92" s="5" t="str">
        <f>IF(OR(Home!$D$7="",Home!$D$8="No"),"",IF(ISBLANK(HLOOKUP(Home!$D$7,$D$2:$F$102,ROW(A91),FALSE)),"",IF(H92="",HLOOKUP(Home!$D$7,$D$2:$F$102,ROW(A91),FALSE),IF(C92=FALSE,"C"))))</f>
        <v/>
      </c>
      <c r="C92" s="5" t="b">
        <v>1</v>
      </c>
      <c r="D92" s="16" t="str">
        <f t="shared" si="16"/>
        <v/>
      </c>
      <c r="E92" s="16"/>
      <c r="F92" s="14"/>
      <c r="G92" s="3" t="s">
        <v>75</v>
      </c>
      <c r="H92" s="25"/>
    </row>
    <row r="93" spans="2:8" x14ac:dyDescent="0.3">
      <c r="B93" s="5" t="str">
        <f>IF(OR(Home!$D$7="",Home!$D$8="No"),"",IF(ISBLANK(HLOOKUP(Home!$D$7,$D$2:$F$102,ROW(A92),FALSE)),"",IF(H93="",HLOOKUP(Home!$D$7,$D$2:$F$102,ROW(A92),FALSE),IF(C93=FALSE,"C"))))</f>
        <v/>
      </c>
      <c r="C93" s="1" t="b">
        <v>1</v>
      </c>
      <c r="D93" s="16" t="str">
        <f>IF(COUNTIF($B$4:$B$7,"R")&gt;0,"",IF(OR($H$5="Yes",$H$72="Yes"),"Y",""))</f>
        <v/>
      </c>
      <c r="E93" s="16"/>
      <c r="F93" s="14"/>
      <c r="G93" s="57" t="s">
        <v>32</v>
      </c>
      <c r="H93" s="58"/>
    </row>
    <row r="94" spans="2:8" x14ac:dyDescent="0.3">
      <c r="B94" s="5" t="str">
        <f>IF(OR(Home!$D$7="",Home!$D$8="No"),"",IF(ISBLANK(HLOOKUP(Home!$D$7,$D$2:$F$102,ROW(A93),FALSE)),"",IF(H94="",HLOOKUP(Home!$D$7,$D$2:$F$102,ROW(A93),FALSE),IF(C94=FALSE,"C"))))</f>
        <v/>
      </c>
      <c r="C94" s="1" t="b">
        <v>1</v>
      </c>
      <c r="D94" s="16" t="str">
        <f t="shared" ref="D94:D96" si="17">IF(COUNTIF($B$4:$B$7,"R")&gt;0,"",IF(OR($H$5="Yes",$H$72="Yes"),"R",""))</f>
        <v/>
      </c>
      <c r="E94" s="16"/>
      <c r="F94" s="14"/>
      <c r="G94" s="3" t="s">
        <v>76</v>
      </c>
      <c r="H94" s="25"/>
    </row>
    <row r="95" spans="2:8" x14ac:dyDescent="0.3">
      <c r="B95" s="5" t="str">
        <f>IF(OR(Home!$D$7="",Home!$D$8="No"),"",IF(ISBLANK(HLOOKUP(Home!$D$7,$D$2:$F$102,ROW(A94),FALSE)),"",IF(H95="",HLOOKUP(Home!$D$7,$D$2:$F$102,ROW(A94),FALSE),IF(C95=FALSE,"C"))))</f>
        <v/>
      </c>
      <c r="C95" s="5" t="b">
        <f>ISNUMBER(H95+0)</f>
        <v>1</v>
      </c>
      <c r="D95" s="16" t="str">
        <f t="shared" si="17"/>
        <v/>
      </c>
      <c r="E95" s="16"/>
      <c r="F95" s="14"/>
      <c r="G95" s="3" t="s">
        <v>77</v>
      </c>
      <c r="H95" s="25"/>
    </row>
    <row r="96" spans="2:8" x14ac:dyDescent="0.3">
      <c r="B96" s="5" t="str">
        <f>IF(OR(Home!$D$7="",Home!$D$8="No"),"",IF(ISBLANK(HLOOKUP(Home!$D$7,$D$2:$F$102,ROW(A95),FALSE)),"",IF(H96="",HLOOKUP(Home!$D$7,$D$2:$F$102,ROW(A95),FALSE),IF(C96=FALSE,"C"))))</f>
        <v/>
      </c>
      <c r="C96" s="5" t="b">
        <f>ISNUMBER(H96+0)</f>
        <v>1</v>
      </c>
      <c r="D96" s="16" t="str">
        <f t="shared" si="17"/>
        <v/>
      </c>
      <c r="E96" s="16"/>
      <c r="F96" s="14"/>
      <c r="G96" s="3" t="s">
        <v>78</v>
      </c>
      <c r="H96" s="25"/>
    </row>
    <row r="97" spans="2:8" x14ac:dyDescent="0.3">
      <c r="B97" s="5" t="str">
        <f>IF(OR(Home!$D$7="",Home!$D$8="No"),"",IF(ISBLANK(HLOOKUP(Home!$D$7,$D$2:$F$102,ROW(A96),FALSE)),"",IF(H97="",HLOOKUP(Home!$D$7,$D$2:$F$102,ROW(A96),FALSE),IF(C97=FALSE,"C"))))</f>
        <v/>
      </c>
      <c r="C97" s="1" t="b">
        <v>1</v>
      </c>
      <c r="D97" s="16" t="str">
        <f>IF(COUNTIF($B$4:$B$7,"R")&gt;0,"",IF(OR($H$5="Yes",$H$72="Yes"),"Y",""))</f>
        <v/>
      </c>
      <c r="E97" s="16"/>
      <c r="F97" s="14"/>
      <c r="G97" s="57" t="str">
        <f>Home!D7&amp;" Authorization"</f>
        <v xml:space="preserve"> Authorization</v>
      </c>
      <c r="H97" s="58"/>
    </row>
    <row r="98" spans="2:8" x14ac:dyDescent="0.3">
      <c r="B98" s="5" t="str">
        <f>IF(OR(Home!$D$7="",Home!$D$8="No"),"",IF(ISBLANK(HLOOKUP(Home!$D$7,$D$2:$F$102,ROW(A97),FALSE)),"",IF(H98="",HLOOKUP(Home!$D$7,$D$2:$F$102,ROW(A97),FALSE),IF(C98=FALSE,"C"))))</f>
        <v/>
      </c>
      <c r="C98" s="1" t="b">
        <v>1</v>
      </c>
      <c r="D98" s="16" t="str">
        <f>IF(COUNTIF($B$4:$B$7,"R")&gt;0,"",IF(OR($H$5="Yes",$H$72="Yes"),"Y",""))</f>
        <v/>
      </c>
      <c r="E98" s="16"/>
      <c r="F98" s="14"/>
      <c r="G98" s="54" t="s">
        <v>43</v>
      </c>
      <c r="H98" s="55"/>
    </row>
    <row r="99" spans="2:8" ht="152.25" customHeight="1" x14ac:dyDescent="0.3">
      <c r="B99" s="5" t="str">
        <f>IF(OR(Home!$D$7="",Home!$D$8="No"),"",IF(ISBLANK(HLOOKUP(Home!$D$7,$D$2:$F$102,ROW(A98),FALSE)),"",IF(H99="",HLOOKUP(Home!$D$7,$D$2:$F$102,ROW(A98),FALSE),IF(C99=FALSE,"C"))))</f>
        <v/>
      </c>
      <c r="C99" s="1" t="b">
        <v>1</v>
      </c>
      <c r="D99" s="16" t="str">
        <f>IF(COUNTIF($B$4:$B$7,"R")&gt;0,"",IF(OR($H$5="Yes",$H$72="Yes"),"R",""))</f>
        <v/>
      </c>
      <c r="E99" s="16"/>
      <c r="F99" s="14"/>
      <c r="G99"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99" s="32"/>
    </row>
    <row r="100" spans="2:8" x14ac:dyDescent="0.3">
      <c r="B100" s="5" t="str">
        <f>IF(OR(Home!$D$7="",Home!$D$8="No"),"",IF(ISBLANK(HLOOKUP(Home!$D$7,$D$2:$F$102,ROW(A99),FALSE)),"",IF(H100="",HLOOKUP(Home!$D$7,$D$2:$F$102,ROW(A99),FALSE),IF(C100=FALSE,"C"))))</f>
        <v/>
      </c>
      <c r="C100" s="1" t="b">
        <v>1</v>
      </c>
      <c r="D100" s="16" t="str">
        <f>IF(COUNTIF($B$4:$B$7,"R")&gt;0,"",IF(OR($H$5="Yes",$H$72="Yes"),"R",""))</f>
        <v/>
      </c>
      <c r="E100" s="16"/>
      <c r="F100" s="14"/>
      <c r="G100" s="3" t="s">
        <v>25</v>
      </c>
      <c r="H100" s="27"/>
    </row>
    <row r="101" spans="2:8" x14ac:dyDescent="0.3">
      <c r="B101" s="5" t="str">
        <f>IF(OR(Home!$D$7="",Home!$D$8="No"),"",IF(ISBLANK(HLOOKUP(Home!$D$7,$D$2:$F$102,ROW(A100),FALSE)),"",IF(H101="",HLOOKUP(Home!$D$7,$D$2:$F$102,ROW(A100),FALSE),IF(C101=FALSE,"C"))))</f>
        <v/>
      </c>
      <c r="C101" s="1" t="b">
        <v>1</v>
      </c>
      <c r="D101" s="16" t="str">
        <f>IF(COUNTIF($B$4:$B$7,"R")&gt;0,"",IF(OR($H$5="Yes",$H$72="Yes"),"R",""))</f>
        <v/>
      </c>
      <c r="E101" s="14"/>
      <c r="F101" s="14"/>
      <c r="G101" s="3" t="s">
        <v>44</v>
      </c>
      <c r="H101" s="25"/>
    </row>
    <row r="102" spans="2:8" x14ac:dyDescent="0.3">
      <c r="B102" s="5" t="str">
        <f>IF(OR(Home!$D$7="",Home!$D$8="No"),"",IF(ISBLANK(HLOOKUP(Home!$D$7,$D$2:$F$102,ROW(A101),FALSE)),"",IF(H102="",HLOOKUP(Home!$D$7,$D$2:$F$102,ROW(A101),FALSE),IF(C102=FALSE,"C"))))</f>
        <v/>
      </c>
      <c r="C102" s="5" t="b">
        <f>AND(ISNUMBER(H102+0),LEFT(H102,1)="1")</f>
        <v>0</v>
      </c>
      <c r="D102" s="16" t="str">
        <f>IF(COUNTIF($B$4:$B$7,"R")&gt;0,"",IF(OR($H$5="Yes",$H$72="Yes"),"R",""))</f>
        <v/>
      </c>
      <c r="E102" s="14"/>
      <c r="F102" s="14"/>
      <c r="G102" s="3" t="s">
        <v>79</v>
      </c>
      <c r="H102" s="25"/>
    </row>
  </sheetData>
  <sheetProtection algorithmName="SHA-512" hashValue="W3ZZiOEiesqy580LrfdzVaV6dmZvTA06u1Fho+Z/CiGVDhFqAf2DGWRQZ7jrYLNqRnQkQ75MpmeiAHZm08sfrw==" saltValue="Nu/u4QomfA0jNC64cbDnKQ==" spinCount="100000" sheet="1" formatRows="0" selectLockedCells="1"/>
  <autoFilter ref="B2:F102"/>
  <mergeCells count="16">
    <mergeCell ref="G77:H77"/>
    <mergeCell ref="G78:H78"/>
    <mergeCell ref="G87:H87"/>
    <mergeCell ref="G93:H93"/>
    <mergeCell ref="G98:H98"/>
    <mergeCell ref="G97:H97"/>
    <mergeCell ref="G79:H79"/>
    <mergeCell ref="G58:H58"/>
    <mergeCell ref="G57:H57"/>
    <mergeCell ref="G3:H3"/>
    <mergeCell ref="G2:H2"/>
    <mergeCell ref="G29:H29"/>
    <mergeCell ref="G37:H37"/>
    <mergeCell ref="G48:H48"/>
    <mergeCell ref="G9:H9"/>
    <mergeCell ref="G8:H8"/>
  </mergeCells>
  <conditionalFormatting sqref="G2:H70 G72:H102">
    <cfRule type="expression" dxfId="50" priority="31">
      <formula>$B2=""</formula>
    </cfRule>
  </conditionalFormatting>
  <conditionalFormatting sqref="J2">
    <cfRule type="expression" dxfId="49" priority="69">
      <formula>$B2=""</formula>
    </cfRule>
  </conditionalFormatting>
  <conditionalFormatting sqref="G2:H2">
    <cfRule type="expression" dxfId="48" priority="90">
      <formula>LEFT($G$2,9)="Completed"</formula>
    </cfRule>
  </conditionalFormatting>
  <conditionalFormatting sqref="G69:H69">
    <cfRule type="expression" dxfId="47" priority="10">
      <formula>$B69=""</formula>
    </cfRule>
  </conditionalFormatting>
  <conditionalFormatting sqref="H69">
    <cfRule type="expression" dxfId="46" priority="11">
      <formula>$B69="C"</formula>
    </cfRule>
    <cfRule type="expression" dxfId="45" priority="12">
      <formula>$B69="R"</formula>
    </cfRule>
  </conditionalFormatting>
  <conditionalFormatting sqref="G70:H70">
    <cfRule type="expression" dxfId="44" priority="7">
      <formula>$B70=""</formula>
    </cfRule>
  </conditionalFormatting>
  <conditionalFormatting sqref="H70">
    <cfRule type="expression" dxfId="43" priority="8">
      <formula>$B70="C"</formula>
    </cfRule>
    <cfRule type="expression" dxfId="42" priority="9">
      <formula>$B70="R"</formula>
    </cfRule>
  </conditionalFormatting>
  <conditionalFormatting sqref="H3:H70 H72:H102">
    <cfRule type="expression" dxfId="41" priority="88">
      <formula>$B3="C"</formula>
    </cfRule>
    <cfRule type="expression" dxfId="40" priority="89">
      <formula>$B3="R"</formula>
    </cfRule>
  </conditionalFormatting>
  <conditionalFormatting sqref="G71:H71">
    <cfRule type="expression" dxfId="39" priority="4">
      <formula>$B71=""</formula>
    </cfRule>
  </conditionalFormatting>
  <conditionalFormatting sqref="G71:H71">
    <cfRule type="expression" dxfId="38" priority="1">
      <formula>$B71=""</formula>
    </cfRule>
  </conditionalFormatting>
  <conditionalFormatting sqref="H71">
    <cfRule type="expression" dxfId="37" priority="2">
      <formula>$B71="C"</formula>
    </cfRule>
    <cfRule type="expression" dxfId="36" priority="3">
      <formula>$B71="R"</formula>
    </cfRule>
  </conditionalFormatting>
  <conditionalFormatting sqref="H71">
    <cfRule type="expression" dxfId="35" priority="5">
      <formula>$B71="C"</formula>
    </cfRule>
    <cfRule type="expression" dxfId="34" priority="6">
      <formula>$B71="R"</formula>
    </cfRule>
  </conditionalFormatting>
  <dataValidations xWindow="910" yWindow="444" count="16">
    <dataValidation type="list" allowBlank="1" showInputMessage="1" showErrorMessage="1" sqref="H74 H72 H41 H49 H4:H6 H59:H64">
      <formula1>"Yes,No"</formula1>
    </dataValidation>
    <dataValidation type="list" allowBlank="1" showInputMessage="1" showErrorMessage="1" sqref="H38">
      <formula1>"Email (Plain Text Format),Email (HTML Format),Fax"</formula1>
    </dataValidation>
    <dataValidation type="list" allowBlank="1" showInputMessage="1" showErrorMessage="1" sqref="H16">
      <formula1>"Employer Identification Number (EIN),Social Security Number (SSN)"</formula1>
    </dataValidation>
    <dataValidation type="list" allowBlank="1" showInputMessage="1" showErrorMessage="1" sqref="H19">
      <formula1>"C Corporation, S Corporation, Partnership"</formula1>
    </dataValidation>
    <dataValidation type="list" allowBlank="1" showInputMessage="1" showErrorMessage="1" sqref="H18">
      <formula1>"Sole Proprietor or Single Member LLC, C Corporation, S Corporation, Partnership, Trust/Estate, Limited Liability Company (LLC),Government,Non-Profit"</formula1>
    </dataValidation>
    <dataValidation type="textLength" allowBlank="1" showInputMessage="1" showErrorMessage="1" promptTitle="Phone Number" prompt="Requires 11 digits with no special characters and the first digit must start with the number 1." sqref="H14 H35 H47 H55 H85 H102">
      <formula1>11</formula1>
      <formula2>11</formula2>
    </dataValidation>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 sqref="H12 H82">
      <formula1>9</formula1>
      <formula2>9</formula2>
    </dataValidation>
    <dataValidation type="textLength" allowBlank="1" showInputMessage="1" showErrorMessage="1" promptTitle="TIN Number" prompt="This field requires 9 digits without any special characters._x000a__x000a_Example of Acceptable Format: _x000a_272786963_x000a__x000a_Example of Unacceptable Format: _x000a_272-78-6963" sqref="H17 H83">
      <formula1>9</formula1>
      <formula2>9</formula2>
    </dataValidation>
    <dataValidation type="textLength" allowBlank="1" showInputMessage="1" showErrorMessage="1" promptTitle="Fax Number" prompt="Requires 11 digits with no special characters and the first digit must start with the number 1." sqref="H40">
      <formula1>11</formula1>
      <formula2>11</formula2>
    </dataValidation>
    <dataValidation type="textLength" allowBlank="1" showInputMessage="1" showErrorMessage="1" promptTitle="Routing Number" prompt="This field requires 9 digits without any special characters." sqref="H95">
      <formula1>9</formula1>
      <formula2>9</formula2>
    </dataValidation>
    <dataValidation type="list" allowBlank="1" showInputMessage="1" showErrorMessage="1" sqref="H5">
      <formula1>"New,Update"</formula1>
    </dataValidation>
    <dataValidation type="list" allowBlank="1" showInputMessage="1" showErrorMessage="1" sqref="H73">
      <formula1>"My company is already registered with SAM,My company plans to regiser with SAM,My company does not plan to regiser with SAM"</formula1>
    </dataValidation>
    <dataValidation type="list" allowBlank="1" showInputMessage="1" showErrorMessage="1" sqref="H20">
      <formula1>"No,Yes - Small and Diverse,Yes - Small Only,Yes - Diverse Only"</formula1>
    </dataValidation>
    <dataValidation type="list" allowBlank="1" showInputMessage="1" showErrorMessage="1" sqref="H21:H28">
      <formula1>"No,Yes - Certified,Yes - Self-Identified"</formula1>
    </dataValidation>
    <dataValidation type="whole" allowBlank="1" showInputMessage="1" showErrorMessage="1" sqref="H71">
      <formula1>0</formula1>
      <formula2>100000</formula2>
    </dataValidation>
    <dataValidation type="list" allowBlank="1" showInputMessage="1" showErrorMessage="1" sqref="H70">
      <formula1>"I understand"</formula1>
    </dataValidation>
  </dataValidations>
  <pageMargins left="0.7" right="0.7" top="0.75" bottom="0.75" header="0.3" footer="0.3"/>
  <pageSetup scale="49" fitToHeight="0" orientation="portrait" r:id="rId1"/>
  <legacyDrawing r:id="rId2"/>
  <extLst>
    <ext xmlns:x14="http://schemas.microsoft.com/office/spreadsheetml/2009/9/main" uri="{CCE6A557-97BC-4b89-ADB6-D9C93CAAB3DF}">
      <x14:dataValidations xmlns:xm="http://schemas.microsoft.com/office/excel/2006/main" xWindow="910" yWindow="444" count="2">
        <x14:dataValidation type="list" allowBlank="1" showInputMessage="1" showErrorMessage="1">
          <x14:formula1>
            <xm:f>'Drop Down'!$D$2:$D$7</xm:f>
          </x14:formula1>
          <xm:sqref>H67</xm:sqref>
        </x14:dataValidation>
        <x14:dataValidation type="list" allowBlank="1" showInputMessage="1" showErrorMessage="1">
          <x14:formula1>
            <xm:f>'Drop Down'!$B$2:$B$53</xm:f>
          </x14:formula1>
          <xm:sqref>H45 H33 H53 H91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B1:J102"/>
  <sheetViews>
    <sheetView showGridLines="0" zoomScaleNormal="100" workbookViewId="0">
      <pane ySplit="2" topLeftCell="A3" activePane="bottomLeft" state="frozen"/>
      <selection pane="bottomLeft" activeCell="H4" sqref="H4"/>
    </sheetView>
  </sheetViews>
  <sheetFormatPr defaultColWidth="9.109375" defaultRowHeight="14.4" x14ac:dyDescent="0.3"/>
  <cols>
    <col min="1" max="1" width="1.109375" style="8" customWidth="1"/>
    <col min="2" max="2" width="12.5546875" style="5" hidden="1" customWidth="1"/>
    <col min="3" max="3" width="9.88671875" style="5" hidden="1" customWidth="1"/>
    <col min="4" max="4" width="9.6640625" style="5" hidden="1" customWidth="1"/>
    <col min="5" max="5" width="9.88671875" style="5" hidden="1" customWidth="1"/>
    <col min="6" max="6" width="10.5546875" style="5" hidden="1" customWidth="1"/>
    <col min="7" max="7" width="56.33203125" style="6" customWidth="1"/>
    <col min="8" max="8" width="78.109375" style="17" customWidth="1"/>
    <col min="9" max="9" width="1.33203125" style="8" customWidth="1"/>
    <col min="10" max="10" width="12" style="8" customWidth="1"/>
    <col min="11" max="16384" width="9.109375" style="8"/>
  </cols>
  <sheetData>
    <row r="1" spans="2:10" ht="15" thickBot="1" x14ac:dyDescent="0.35">
      <c r="G1" s="34" t="str">
        <f>Home!C1&amp;" ("&amp;IF(Home!D8="Yes","Domestic ","")&amp;Home!$D$7&amp;")"</f>
        <v>Supplier Information Form (SIF) Version 2.0 Effective 5-4-2021 ()</v>
      </c>
    </row>
    <row r="2" spans="2:10" ht="63" customHeight="1" thickTop="1" thickBot="1" x14ac:dyDescent="0.35">
      <c r="B2" s="5" t="str">
        <f>IF(AND(Home!$D$7="Individual",Home!$D$8&lt;&gt;"No"),"Conditional Formatting","")</f>
        <v/>
      </c>
      <c r="C2" s="5" t="s">
        <v>6</v>
      </c>
      <c r="D2" s="5" t="s">
        <v>45</v>
      </c>
      <c r="E2" s="5" t="s">
        <v>46</v>
      </c>
      <c r="F2" s="5" t="s">
        <v>47</v>
      </c>
      <c r="G2" s="49" t="str">
        <f>IF(AND(COUNTIF($B$3:$B$102,"R")&gt;0,COUNTIF($B$3:$B$102,"C")&gt;0),"There are "&amp;COUNTIF($B$3:$B$102,"R")&amp;" required fields remaining highlighted in yellow with mini-dots."&amp;CHAR(10)&amp;"There are "&amp;COUNTIF($B$3:$B$102,"C")&amp;" fields that need correction highlighted in red.",IF(AND(COUNTIF($B$3:$B$102,"R")&gt;0,COUNTIF($B$3:$B$102,"C")=0),"There are "&amp;COUNTIF($B$3:$B$102,"R")&amp;" required fields remaining highlighted in yellow with mini-dots.",IF(AND(COUNTIF($B$3:$B$102,"R")=0,COUNTIF($B$3:$B$102,"C")&gt;0),"There are "&amp;COUNTIF($B$3:$B$102,"C")&amp;" fields that need correction highlighted in red.","Completed! Please submit this excel file to the Emory personnel that provided you this form.")))</f>
        <v>Completed! Please submit this excel file to the Emory personnel that provided you this form.</v>
      </c>
      <c r="H2" s="50"/>
      <c r="J2" s="11" t="str">
        <f>HYPERLINK(CONCATENATE("#Home!D8"),"Click Here to Go Back")</f>
        <v>Click Here to Go Back</v>
      </c>
    </row>
    <row r="3" spans="2:10" ht="23.25" customHeight="1" thickTop="1" x14ac:dyDescent="0.3">
      <c r="B3" s="5" t="str">
        <f>IF(OR(Home!$D$7="",Home!$D$8="No"),"",IF(ISBLANK(HLOOKUP(Home!$D$7,$D$2:$F$102,ROW(A2),FALSE)),"",IF(H3="",HLOOKUP(Home!$D$7,$D$2:$F$102,ROW(A2),FALSE),IF(C3=FALSE,"C"))))</f>
        <v/>
      </c>
      <c r="C3" s="5" t="b">
        <v>1</v>
      </c>
      <c r="D3" s="15"/>
      <c r="E3" s="15" t="s">
        <v>8</v>
      </c>
      <c r="F3" s="15"/>
      <c r="G3" s="48" t="s">
        <v>48</v>
      </c>
      <c r="H3" s="53"/>
    </row>
    <row r="4" spans="2:10" ht="28.8" x14ac:dyDescent="0.3">
      <c r="B4" s="5" t="str">
        <f>IF(OR(Home!$D$7="",Home!$D$8="No"),"",IF(ISBLANK(HLOOKUP(Home!$D$7,$D$2:$F$102,ROW(A3),FALSE)),"",IF(H4="",HLOOKUP(Home!$D$7,$D$2:$F$102,ROW(A3),FALSE),IF(C4=FALSE,"C"))))</f>
        <v/>
      </c>
      <c r="C4" s="5" t="b">
        <v>1</v>
      </c>
      <c r="D4" s="15"/>
      <c r="E4" s="15" t="s">
        <v>9</v>
      </c>
      <c r="F4" s="15"/>
      <c r="G4" s="9" t="str">
        <f>IF(Home!$D$7="Company","Is your company",IF(Home!$D$7="Individual","Are you",""))&amp;" filling out this form to update current information on file with Emory? If not sure, select 'No' from drop down box."</f>
        <v xml:space="preserve"> filling out this form to update current information on file with Emory? If not sure, select 'No' from drop down box.</v>
      </c>
      <c r="H4" s="25"/>
    </row>
    <row r="5" spans="2:10" ht="31.5" customHeight="1" x14ac:dyDescent="0.3">
      <c r="B5" s="5" t="str">
        <f>IF(OR(Home!$D$7="",Home!$D$8="No"),"",IF(ISBLANK(HLOOKUP(Home!$D$7,$D$2:$F$102,ROW(A4),FALSE)),"",IF(H5="",HLOOKUP(Home!$D$7,$D$2:$F$102,ROW(A4),FALSE),IF(C5=FALSE,"C"))))</f>
        <v/>
      </c>
      <c r="C5" s="5" t="b">
        <v>1</v>
      </c>
      <c r="D5" s="15"/>
      <c r="E5" s="15" t="str">
        <f>IF(H4="Yes","R","Y")</f>
        <v>Y</v>
      </c>
      <c r="F5" s="15"/>
      <c r="G5" s="9" t="str">
        <f>IF(H4="Yes",IF(Home!$D$7="Company","Does your company",IF(Home!$D$7="Individual","Do you",""))&amp;" only need to update the ACH/Banking information on file with Emory?","")</f>
        <v/>
      </c>
      <c r="H5" s="25"/>
    </row>
    <row r="6" spans="2:10" ht="28.8" hidden="1" x14ac:dyDescent="0.3">
      <c r="B6" s="5" t="str">
        <f>IF(OR(Home!$D$7="",Home!$D$8="No"),"",IF(ISBLANK(HLOOKUP(Home!$D$7,$D$2:$F$102,ROW(A5),FALSE)),"",IF(H6="",HLOOKUP(Home!$D$7,$D$2:$F$102,ROW(A5),FALSE),IF(C6=FALSE,"C"))))</f>
        <v/>
      </c>
      <c r="C6" s="5" t="b">
        <v>1</v>
      </c>
      <c r="D6" s="15"/>
      <c r="E6" s="15"/>
      <c r="F6" s="15"/>
      <c r="G6" s="9" t="s">
        <v>49</v>
      </c>
      <c r="H6" s="25" t="s">
        <v>7</v>
      </c>
    </row>
    <row r="7" spans="2:10" ht="47.25" hidden="1" customHeight="1" x14ac:dyDescent="0.3">
      <c r="B7" s="5" t="str">
        <f>IF(OR(Home!$D$7="",Home!$D$8="No"),"",IF(ISBLANK(HLOOKUP(Home!$D$7,$D$2:$F$102,ROW(A6),FALSE)),"",IF(H7="",HLOOKUP(Home!$D$7,$D$2:$F$102,ROW(A6),FALSE),IF(C7=FALSE,"C"))))</f>
        <v/>
      </c>
      <c r="C7" s="5" t="b">
        <v>1</v>
      </c>
      <c r="D7" s="15"/>
      <c r="E7" s="15"/>
      <c r="F7" s="15"/>
      <c r="G7" s="9" t="str">
        <f>IF(H6="Yes","Please provide a brief description of the merger, acquisition, or spinoff:","")</f>
        <v/>
      </c>
      <c r="H7" s="25"/>
    </row>
    <row r="8" spans="2:10" ht="15" customHeight="1" x14ac:dyDescent="0.3">
      <c r="B8" s="5" t="str">
        <f>IF(OR(Home!$D$7="",Home!$D$8="No"),"",IF(ISBLANK(HLOOKUP(Home!$D$7,$D$2:$F$102,ROW(A7),FALSE)),"",IF(H8="",HLOOKUP(Home!$D$7,$D$2:$F$102,ROW(A7),FALSE),IF(C8=FALSE,"C"))))</f>
        <v/>
      </c>
      <c r="C8" s="5" t="b">
        <v>1</v>
      </c>
      <c r="D8" s="15"/>
      <c r="E8" s="15" t="s">
        <v>8</v>
      </c>
      <c r="F8" s="15"/>
      <c r="G8" s="48"/>
      <c r="H8" s="53"/>
    </row>
    <row r="9" spans="2:10" ht="30.75" customHeight="1" x14ac:dyDescent="0.3">
      <c r="B9" s="5" t="str">
        <f>IF(OR(Home!$D$7="",Home!$D$8="No"),"",IF(ISBLANK(HLOOKUP(Home!$D$7,$D$2:$F$102,ROW(A8),FALSE)),"",IF(H9="",HLOOKUP(Home!$D$7,$D$2:$F$102,ROW(A8),FALSE),IF(C9=FALSE,"C"))))</f>
        <v/>
      </c>
      <c r="C9" s="5" t="b">
        <v>1</v>
      </c>
      <c r="D9" s="15"/>
      <c r="E9" s="15" t="str">
        <f>IF(COUNTIF($B$4:$B$7,"R")&gt;0,"","Y")</f>
        <v>Y</v>
      </c>
      <c r="F9" s="15"/>
      <c r="G9" s="51" t="str">
        <f>Home!D7&amp;" Name and Information"</f>
        <v xml:space="preserve"> Name and Information</v>
      </c>
      <c r="H9" s="52"/>
    </row>
    <row r="10" spans="2:10" x14ac:dyDescent="0.3">
      <c r="B10" s="5" t="str">
        <f>IF(OR(Home!$D$7="",Home!$D$8="No"),"",IF(ISBLANK(HLOOKUP(Home!$D$7,$D$2:$F$102,ROW(A9),FALSE)),"",IF(H10="",HLOOKUP(Home!$D$7,$D$2:$F$102,ROW(A9),FALSE),IF(C10=FALSE,"C"))))</f>
        <v/>
      </c>
      <c r="C10" s="5" t="b">
        <v>1</v>
      </c>
      <c r="D10" s="15"/>
      <c r="E10" s="15" t="str">
        <f>IF(COUNTIF($B$4:$B$7,"R")&gt;0,"",IF($H$5="Yes","Y","R"))</f>
        <v>R</v>
      </c>
      <c r="F10" s="15"/>
      <c r="G10" s="9" t="s">
        <v>50</v>
      </c>
      <c r="H10" s="25"/>
    </row>
    <row r="11" spans="2:10" x14ac:dyDescent="0.3">
      <c r="B11" s="5" t="str">
        <f>IF(OR(Home!$D$7="",Home!$D$8="No"),"",IF(ISBLANK(HLOOKUP(Home!$D$7,$D$2:$F$102,ROW(A10),FALSE)),"",IF(H11="",HLOOKUP(Home!$D$7,$D$2:$F$102,ROW(A10),FALSE),IF(C11=FALSE,"C"))))</f>
        <v/>
      </c>
      <c r="C11" s="5" t="b">
        <v>1</v>
      </c>
      <c r="D11" s="15"/>
      <c r="E11" s="15" t="str">
        <f t="shared" ref="E11" si="0">IF(COUNTIF($B$4:$B$7,"R")&gt;0,"","Y")</f>
        <v>Y</v>
      </c>
      <c r="F11" s="15"/>
      <c r="G11" s="9" t="s">
        <v>51</v>
      </c>
      <c r="H11" s="25"/>
    </row>
    <row r="12" spans="2:10" hidden="1" x14ac:dyDescent="0.3">
      <c r="B12" s="5" t="str">
        <f>IF(OR(Home!$D$7="",Home!$D$8="No"),"",IF(ISBLANK(HLOOKUP(Home!$D$7,$D$2:$F$102,ROW(A11),FALSE)),"",IF(H12="",HLOOKUP(Home!$D$7,$D$2:$F$102,ROW(A11),FALSE),IF(C12=FALSE,"C"))))</f>
        <v/>
      </c>
      <c r="C12" s="5" t="b">
        <f>ISNUMBER(H12+0)</f>
        <v>1</v>
      </c>
      <c r="D12" s="15"/>
      <c r="E12" s="13"/>
      <c r="F12" s="15"/>
      <c r="G12" s="9" t="s">
        <v>52</v>
      </c>
      <c r="H12" s="25"/>
    </row>
    <row r="13" spans="2:10" x14ac:dyDescent="0.3">
      <c r="B13" s="5" t="str">
        <f>IF(OR(Home!$D$7="",Home!$D$8="No"),"",IF(ISBLANK(HLOOKUP(Home!$D$7,$D$2:$F$102,ROW(A12),FALSE)),"",IF(H13="",HLOOKUP(Home!$D$7,$D$2:$F$102,ROW(A12),FALSE),IF(C13=FALSE,"C"))))</f>
        <v/>
      </c>
      <c r="C13" s="5" t="b">
        <v>1</v>
      </c>
      <c r="D13" s="15"/>
      <c r="E13" s="15" t="str">
        <f t="shared" ref="E13:E17" si="1">IF(COUNTIF($B$4:$B$7,"R")&gt;0,"",IF($H$5="Yes","Y","R"))</f>
        <v>R</v>
      </c>
      <c r="F13" s="15"/>
      <c r="G13" s="9" t="s">
        <v>12</v>
      </c>
      <c r="H13" s="25"/>
    </row>
    <row r="14" spans="2:10" x14ac:dyDescent="0.3">
      <c r="B14" s="5" t="str">
        <f>IF(OR(Home!$D$7="",Home!$D$8="No"),"",IF(ISBLANK(HLOOKUP(Home!$D$7,$D$2:$F$102,ROW(A13),FALSE)),"",IF(H14="",HLOOKUP(Home!$D$7,$D$2:$F$102,ROW(A13),FALSE),IF(C14=FALSE,"C"))))</f>
        <v/>
      </c>
      <c r="C14" s="5" t="b">
        <f>AND(ISNUMBER(H14+0),LEFT(H14,1)="1")</f>
        <v>0</v>
      </c>
      <c r="D14" s="15"/>
      <c r="E14" s="15" t="str">
        <f t="shared" si="1"/>
        <v>R</v>
      </c>
      <c r="F14" s="15"/>
      <c r="G14" s="9" t="s">
        <v>13</v>
      </c>
      <c r="H14" s="25"/>
    </row>
    <row r="15" spans="2:10" x14ac:dyDescent="0.3">
      <c r="B15" s="5" t="str">
        <f>IF(OR(Home!$D$7="",Home!$D$8="No"),"",IF(ISBLANK(HLOOKUP(Home!$D$7,$D$2:$F$102,ROW(A14),FALSE)),"",IF(H15="",HLOOKUP(Home!$D$7,$D$2:$F$102,ROW(A14),FALSE),IF(C15=FALSE,"C"))))</f>
        <v/>
      </c>
      <c r="C15" s="5" t="b">
        <f>IF(H15="",TRUE,ISNUMBER(FIND("@",H15,1)+FIND(".",H15,1)))</f>
        <v>1</v>
      </c>
      <c r="D15" s="15"/>
      <c r="E15" s="15" t="str">
        <f t="shared" si="1"/>
        <v>R</v>
      </c>
      <c r="F15" s="15"/>
      <c r="G15" s="9" t="s">
        <v>14</v>
      </c>
      <c r="H15" s="26"/>
    </row>
    <row r="16" spans="2:10" hidden="1" x14ac:dyDescent="0.3">
      <c r="B16" s="5" t="str">
        <f>IF(OR(Home!$D$7="",Home!$D$8="No"),"",IF(ISBLANK(HLOOKUP(Home!$D$7,$D$2:$F$102,ROW(A15),FALSE)),"",IF(H16="",HLOOKUP(Home!$D$7,$D$2:$F$102,ROW(A15),FALSE),IF(C16=FALSE,"C"))))</f>
        <v/>
      </c>
      <c r="C16" s="5" t="b">
        <v>1</v>
      </c>
      <c r="D16" s="15"/>
      <c r="E16" s="15"/>
      <c r="F16" s="15"/>
      <c r="G16" s="9" t="s">
        <v>53</v>
      </c>
      <c r="H16" s="25"/>
    </row>
    <row r="17" spans="2:8" x14ac:dyDescent="0.3">
      <c r="B17" s="5" t="str">
        <f>IF(OR(Home!$D$7="",Home!$D$8="No"),"",IF(ISBLANK(HLOOKUP(Home!$D$7,$D$2:$F$102,ROW(A16),FALSE)),"",IF(H17="",HLOOKUP(Home!$D$7,$D$2:$F$102,ROW(A16),FALSE),IF(C17=FALSE,"C"))))</f>
        <v/>
      </c>
      <c r="C17" s="5" t="b">
        <f>ISNUMBER(H17+0)</f>
        <v>1</v>
      </c>
      <c r="D17" s="15"/>
      <c r="E17" s="15" t="str">
        <f t="shared" si="1"/>
        <v>R</v>
      </c>
      <c r="F17" s="15"/>
      <c r="G17" s="9" t="str">
        <f>IF(OR(Home!$D$7="Study Participant",Home!$D$7="Individual"),"Social Security Number (SSN) (9 Digits):",IF(H16="","",$H$16&amp;" (9 Digits) :"))</f>
        <v/>
      </c>
      <c r="H17" s="25"/>
    </row>
    <row r="18" spans="2:8" hidden="1" x14ac:dyDescent="0.3">
      <c r="B18" s="5" t="str">
        <f>IF(OR(Home!$D$7="",Home!$D$8="No"),"",IF(ISBLANK(HLOOKUP(Home!$D$7,$D$2:$F$102,ROW(A17),FALSE)),"",IF(H18="",HLOOKUP(Home!$D$7,$D$2:$F$102,ROW(A17),FALSE),IF(C18=FALSE,"C"))))</f>
        <v/>
      </c>
      <c r="C18" s="5" t="b">
        <v>1</v>
      </c>
      <c r="D18" s="15"/>
      <c r="E18" s="15"/>
      <c r="F18" s="15"/>
      <c r="G18" s="9" t="s">
        <v>54</v>
      </c>
      <c r="H18" s="25"/>
    </row>
    <row r="19" spans="2:8" hidden="1" x14ac:dyDescent="0.3">
      <c r="B19" s="5" t="str">
        <f>IF(OR(Home!$D$7="",Home!$D$8="No"),"",IF(ISBLANK(HLOOKUP(Home!$D$7,$D$2:$F$102,ROW(A18),FALSE)),"",IF(H19="",HLOOKUP(Home!$D$7,$D$2:$F$102,ROW(A18),FALSE),IF(C19=FALSE,"C"))))</f>
        <v/>
      </c>
      <c r="C19" s="5" t="b">
        <v>1</v>
      </c>
      <c r="D19" s="15"/>
      <c r="E19" s="15"/>
      <c r="F19" s="15"/>
      <c r="G19" s="9" t="str">
        <f>IF(H18="Limited Liability Company (LLC)","If LLC, Select Tax Classification:","")</f>
        <v/>
      </c>
      <c r="H19" s="25"/>
    </row>
    <row r="20" spans="2:8" ht="28.8" hidden="1" x14ac:dyDescent="0.3">
      <c r="B20" s="5" t="str">
        <f>IF(OR(Home!$D$7="",Home!$D$8="No"),"",IF(ISBLANK(HLOOKUP(Home!$D$7,$D$2:$F$102,ROW(A19),FALSE)),"",IF(H20="",HLOOKUP(Home!$D$7,$D$2:$F$102,ROW(A19),FALSE),IF(C20=FALSE,"C"))))</f>
        <v/>
      </c>
      <c r="C20" s="5" t="b">
        <v>1</v>
      </c>
      <c r="D20" s="15"/>
      <c r="E20" s="15"/>
      <c r="F20" s="15"/>
      <c r="G20" s="9" t="s">
        <v>55</v>
      </c>
      <c r="H20" s="25"/>
    </row>
    <row r="21" spans="2:8" hidden="1" x14ac:dyDescent="0.3">
      <c r="B21" s="5" t="str">
        <f>IF(OR(Home!$D$7="",Home!$D$8="No"),"",IF(ISBLANK(HLOOKUP(Home!$D$7,$D$2:$F$102,ROW(A20),FALSE)),"",IF(H21="",HLOOKUP(Home!$D$7,$D$2:$F$102,ROW(A20),FALSE),IF(C21=FALSE,"C"))))</f>
        <v/>
      </c>
      <c r="C21" s="5" t="b">
        <v>1</v>
      </c>
      <c r="D21" s="15"/>
      <c r="E21" s="15"/>
      <c r="F21" s="15"/>
      <c r="G21" s="9" t="str">
        <f>IF(OR($H$20="Yes - Small and Diverse",$H$20="Yes - Diverse Only"),"Indicate if Disadvantaged Business (DBE):","")</f>
        <v/>
      </c>
      <c r="H21" s="25"/>
    </row>
    <row r="22" spans="2:8" hidden="1" x14ac:dyDescent="0.3">
      <c r="B22" s="5" t="str">
        <f>IF(OR(Home!$D$7="",Home!$D$8="No"),"",IF(ISBLANK(HLOOKUP(Home!$D$7,$D$2:$F$102,ROW(A21),FALSE)),"",IF(H22="",HLOOKUP(Home!$D$7,$D$2:$F$102,ROW(A21),FALSE),IF(C22=FALSE,"C"))))</f>
        <v/>
      </c>
      <c r="C22" s="5" t="b">
        <v>1</v>
      </c>
      <c r="D22" s="15"/>
      <c r="E22" s="15"/>
      <c r="F22" s="15"/>
      <c r="G22" s="9" t="str">
        <f>IF(OR($H$20="Yes - Small and Diverse",$H$20="Yes - Diverse Only"),"Indicate if Woman-Owned Business (WBE):","")</f>
        <v/>
      </c>
      <c r="H22" s="25"/>
    </row>
    <row r="23" spans="2:8" hidden="1" x14ac:dyDescent="0.3">
      <c r="B23" s="5" t="str">
        <f>IF(OR(Home!$D$7="",Home!$D$8="No"),"",IF(ISBLANK(HLOOKUP(Home!$D$7,$D$2:$F$102,ROW(A22),FALSE)),"",IF(H23="",HLOOKUP(Home!$D$7,$D$2:$F$102,ROW(A22),FALSE),IF(C23=FALSE,"C"))))</f>
        <v/>
      </c>
      <c r="C23" s="5" t="b">
        <v>1</v>
      </c>
      <c r="D23" s="15"/>
      <c r="E23" s="15"/>
      <c r="F23" s="15"/>
      <c r="G23" s="9" t="str">
        <f>IF(OR($H$20="Yes - Small and Diverse",$H$20="Yes - Diverse Only"),"Indicate if Minority Owned Business (MBE):","")</f>
        <v/>
      </c>
      <c r="H23" s="25"/>
    </row>
    <row r="24" spans="2:8" hidden="1" x14ac:dyDescent="0.3">
      <c r="B24" s="5" t="str">
        <f>IF(OR(Home!$D$7="",Home!$D$8="No"),"",IF(ISBLANK(HLOOKUP(Home!$D$7,$D$2:$F$102,ROW(A23),FALSE)),"",IF(H24="",HLOOKUP(Home!$D$7,$D$2:$F$102,ROW(A23),FALSE),IF(C24=FALSE,"C"))))</f>
        <v/>
      </c>
      <c r="C24" s="5" t="b">
        <v>1</v>
      </c>
      <c r="D24" s="15"/>
      <c r="E24" s="15"/>
      <c r="F24" s="15"/>
      <c r="G24" s="9" t="str">
        <f>IF(OR($H$20="Yes - Small and Diverse",$H$20="Yes - Diverse Only"),"Indicate if Veteran Owned Business (VBE):","")</f>
        <v/>
      </c>
      <c r="H24" s="25"/>
    </row>
    <row r="25" spans="2:8" ht="32.25" hidden="1" customHeight="1" x14ac:dyDescent="0.3">
      <c r="B25" s="5" t="str">
        <f>IF(OR(Home!$D$7="",Home!$D$8="No"),"",IF(ISBLANK(HLOOKUP(Home!$D$7,$D$2:$F$102,ROW(A24),FALSE)),"",IF(H25="",HLOOKUP(Home!$D$7,$D$2:$F$102,ROW(A24),FALSE),IF(C25=FALSE,"C"))))</f>
        <v/>
      </c>
      <c r="C25" s="5" t="b">
        <v>1</v>
      </c>
      <c r="D25" s="15"/>
      <c r="E25" s="15"/>
      <c r="F25" s="15"/>
      <c r="G25" s="9" t="str">
        <f>IF(OR($H$20="Yes - Small and Diverse",$H$20="Yes - Diverse Only"),"Indicate if Historically Black Colleges / Universities &amp; Minority Institutions:","")</f>
        <v/>
      </c>
      <c r="H25" s="25"/>
    </row>
    <row r="26" spans="2:8" hidden="1" x14ac:dyDescent="0.3">
      <c r="B26" s="5" t="str">
        <f>IF(OR(Home!$D$7="",Home!$D$8="No"),"",IF(ISBLANK(HLOOKUP(Home!$D$7,$D$2:$F$102,ROW(A25),FALSE)),"",IF(H26="",HLOOKUP(Home!$D$7,$D$2:$F$102,ROW(A25),FALSE),IF(C26=FALSE,"C"))))</f>
        <v/>
      </c>
      <c r="C26" s="5" t="b">
        <v>1</v>
      </c>
      <c r="D26" s="15"/>
      <c r="E26" s="15"/>
      <c r="F26" s="15"/>
      <c r="G26" s="9" t="str">
        <f>IF(OR($H$20="Yes - Small and Diverse"),"Indicate if HUBZone Small Business (HUB Zone):","")</f>
        <v/>
      </c>
      <c r="H26" s="25"/>
    </row>
    <row r="27" spans="2:8" ht="33.75" hidden="1" customHeight="1" x14ac:dyDescent="0.3">
      <c r="B27" s="5" t="str">
        <f>IF(OR(Home!$D$7="",Home!$D$8="No"),"",IF(ISBLANK(HLOOKUP(Home!$D$7,$D$2:$F$102,ROW(A26),FALSE)),"",IF(H27="",HLOOKUP(Home!$D$7,$D$2:$F$102,ROW(A26),FALSE),IF(C27=FALSE,"C"))))</f>
        <v/>
      </c>
      <c r="C27" s="5" t="b">
        <v>1</v>
      </c>
      <c r="D27" s="15"/>
      <c r="E27" s="15"/>
      <c r="F27" s="15"/>
      <c r="G27" s="9" t="str">
        <f>IF(OR($H$20="Yes - Small and Diverse"),"Indicate if Service Disabled Veteran-Owned Small Business (SDVOSB):","")</f>
        <v/>
      </c>
      <c r="H27" s="25"/>
    </row>
    <row r="28" spans="2:8" ht="33.75" hidden="1" customHeight="1" x14ac:dyDescent="0.3">
      <c r="B28" s="5" t="str">
        <f>IF(OR(Home!$D$7="",Home!$D$8="No"),"",IF(ISBLANK(HLOOKUP(Home!$D$7,$D$2:$F$102,ROW(A27),FALSE)),"",IF(H28="",HLOOKUP(Home!$D$7,$D$2:$F$102,ROW(A27),FALSE),IF(C28=FALSE,"C"))))</f>
        <v/>
      </c>
      <c r="C28" s="5" t="b">
        <v>1</v>
      </c>
      <c r="D28" s="15"/>
      <c r="E28" s="15"/>
      <c r="F28" s="15"/>
      <c r="G28" s="9" t="str">
        <f>IF(OR($H$20="Yes - Small and Diverse"),"Indicate if Alaskan Native Corporations (ANCs) &amp; Indian Tribes):","")</f>
        <v/>
      </c>
      <c r="H28" s="25"/>
    </row>
    <row r="29" spans="2:8" ht="23.25" customHeight="1" x14ac:dyDescent="0.3">
      <c r="B29" s="5" t="str">
        <f>IF(OR(Home!$D$7="",Home!$D$8="No"),"",IF(ISBLANK(HLOOKUP(Home!$D$7,$D$2:$F$102,ROW(A28),FALSE)),"",IF(H29="",HLOOKUP(Home!$D$7,$D$2:$F$102,ROW(A28),FALSE),IF(C29=FALSE,"C"))))</f>
        <v/>
      </c>
      <c r="C29" s="5" t="b">
        <v>1</v>
      </c>
      <c r="D29" s="15"/>
      <c r="E29" s="15" t="str">
        <f t="shared" ref="E29" si="2">IF(COUNTIF($B$4:$B$7,"R")&gt;0,"","Y")</f>
        <v>Y</v>
      </c>
      <c r="F29" s="15"/>
      <c r="G29" s="48" t="s">
        <v>56</v>
      </c>
      <c r="H29" s="53"/>
    </row>
    <row r="30" spans="2:8" x14ac:dyDescent="0.3">
      <c r="B30" s="5" t="str">
        <f>IF(OR(Home!$D$7="",Home!$D$8="No"),"",IF(ISBLANK(HLOOKUP(Home!$D$7,$D$2:$F$102,ROW(A29),FALSE)),"",IF(H30="",HLOOKUP(Home!$D$7,$D$2:$F$102,ROW(A29),FALSE),IF(C30=FALSE,"C"))))</f>
        <v/>
      </c>
      <c r="C30" s="5" t="b">
        <v>1</v>
      </c>
      <c r="D30" s="15"/>
      <c r="E30" s="15" t="str">
        <f t="shared" ref="E30" si="3">IF(COUNTIF($B$4:$B$7,"R")&gt;0,"",IF($H$5="Yes","Y","R"))</f>
        <v>R</v>
      </c>
      <c r="F30" s="15"/>
      <c r="G30" s="9" t="s">
        <v>19</v>
      </c>
      <c r="H30" s="25"/>
    </row>
    <row r="31" spans="2:8" x14ac:dyDescent="0.3">
      <c r="B31" s="5" t="str">
        <f>IF(OR(Home!$D$7="",Home!$D$8="No"),"",IF(ISBLANK(HLOOKUP(Home!$D$7,$D$2:$F$102,ROW(A30),FALSE)),"",IF(H31="",HLOOKUP(Home!$D$7,$D$2:$F$102,ROW(A30),FALSE),IF(C31=FALSE,"C"))))</f>
        <v/>
      </c>
      <c r="C31" s="5" t="b">
        <v>1</v>
      </c>
      <c r="D31" s="15"/>
      <c r="E31" s="15" t="str">
        <f t="shared" ref="E31" si="4">IF(COUNTIF($B$4:$B$7,"R")&gt;0,"","Y")</f>
        <v>Y</v>
      </c>
      <c r="F31" s="15"/>
      <c r="G31" s="9" t="s">
        <v>20</v>
      </c>
      <c r="H31" s="25"/>
    </row>
    <row r="32" spans="2:8" x14ac:dyDescent="0.3">
      <c r="B32" s="5" t="str">
        <f>IF(OR(Home!$D$7="",Home!$D$8="No"),"",IF(ISBLANK(HLOOKUP(Home!$D$7,$D$2:$F$102,ROW(A31),FALSE)),"",IF(H32="",HLOOKUP(Home!$D$7,$D$2:$F$102,ROW(A31),FALSE),IF(C32=FALSE,"C"))))</f>
        <v/>
      </c>
      <c r="C32" s="5" t="b">
        <v>1</v>
      </c>
      <c r="D32" s="15"/>
      <c r="E32" s="15" t="str">
        <f t="shared" ref="E32:E34" si="5">IF(COUNTIF($B$4:$B$7,"R")&gt;0,"",IF($H$5="Yes","Y","R"))</f>
        <v>R</v>
      </c>
      <c r="F32" s="15"/>
      <c r="G32" s="9" t="s">
        <v>57</v>
      </c>
      <c r="H32" s="25"/>
    </row>
    <row r="33" spans="2:8" x14ac:dyDescent="0.3">
      <c r="B33" s="5" t="str">
        <f>IF(OR(Home!$D$7="",Home!$D$8="No"),"",IF(ISBLANK(HLOOKUP(Home!$D$7,$D$2:$F$102,ROW(A32),FALSE)),"",IF(H33="",HLOOKUP(Home!$D$7,$D$2:$F$102,ROW(A32),FALSE),IF(C33=FALSE,"C"))))</f>
        <v/>
      </c>
      <c r="C33" s="5" t="b">
        <v>1</v>
      </c>
      <c r="D33" s="15"/>
      <c r="E33" s="15" t="str">
        <f t="shared" si="5"/>
        <v>R</v>
      </c>
      <c r="F33" s="15"/>
      <c r="G33" s="9" t="s">
        <v>58</v>
      </c>
      <c r="H33" s="25"/>
    </row>
    <row r="34" spans="2:8" x14ac:dyDescent="0.3">
      <c r="B34" s="5" t="str">
        <f>IF(OR(Home!$D$7="",Home!$D$8="No"),"",IF(ISBLANK(HLOOKUP(Home!$D$7,$D$2:$F$102,ROW(A33),FALSE)),"",IF(H34="",HLOOKUP(Home!$D$7,$D$2:$F$102,ROW(A33),FALSE),IF(C34=FALSE,"C"))))</f>
        <v/>
      </c>
      <c r="C34" s="5" t="b">
        <v>1</v>
      </c>
      <c r="D34" s="15"/>
      <c r="E34" s="15" t="str">
        <f t="shared" si="5"/>
        <v>R</v>
      </c>
      <c r="F34" s="15"/>
      <c r="G34" s="9" t="s">
        <v>59</v>
      </c>
      <c r="H34" s="25"/>
    </row>
    <row r="35" spans="2:8" hidden="1" x14ac:dyDescent="0.3">
      <c r="B35" s="5" t="str">
        <f>IF(OR(Home!$D$7="",Home!$D$8="No"),"",IF(ISBLANK(HLOOKUP(Home!$D$7,$D$2:$F$102,ROW(A34),FALSE)),"",IF(H35="",HLOOKUP(Home!$D$7,$D$2:$F$102,ROW(A34),FALSE),IF(C35=FALSE,"C"))))</f>
        <v/>
      </c>
      <c r="C35" s="5" t="b">
        <f>AND(ISNUMBER(H35+0),LEFT(H35,1)="1")</f>
        <v>0</v>
      </c>
      <c r="D35" s="15"/>
      <c r="E35" s="13"/>
      <c r="F35" s="15"/>
      <c r="G35" s="9" t="s">
        <v>60</v>
      </c>
      <c r="H35" s="25"/>
    </row>
    <row r="36" spans="2:8" hidden="1" x14ac:dyDescent="0.3">
      <c r="B36" s="5" t="str">
        <f>IF(OR(Home!$D$7="",Home!$D$8="No"),"",IF(ISBLANK(HLOOKUP(Home!$D$7,$D$2:$F$102,ROW(A35),FALSE)),"",IF(H36="",HLOOKUP(Home!$D$7,$D$2:$F$102,ROW(A35),FALSE),IF(C36=FALSE,"C"))))</f>
        <v/>
      </c>
      <c r="C36" s="5" t="b">
        <f>IF(H36="",TRUE,ISNUMBER(FIND("@",H36,1)+FIND(".",H36,1)))</f>
        <v>1</v>
      </c>
      <c r="D36" s="15"/>
      <c r="E36" s="13"/>
      <c r="F36" s="15"/>
      <c r="G36" s="9" t="s">
        <v>61</v>
      </c>
      <c r="H36" s="25"/>
    </row>
    <row r="37" spans="2:8" ht="23.25" hidden="1" customHeight="1" x14ac:dyDescent="0.3">
      <c r="B37" s="5" t="str">
        <f>IF(OR(Home!$D$7="",Home!$D$8="No"),"",IF(ISBLANK(HLOOKUP(Home!$D$7,$D$2:$F$102,ROW(A36),FALSE)),"",IF(H37="",HLOOKUP(Home!$D$7,$D$2:$F$102,ROW(A36),FALSE),IF(C37=FALSE,"C"))))</f>
        <v/>
      </c>
      <c r="C37" s="5" t="b">
        <v>1</v>
      </c>
      <c r="D37" s="15"/>
      <c r="E37" s="13"/>
      <c r="F37" s="15"/>
      <c r="G37" s="48" t="s">
        <v>22</v>
      </c>
      <c r="H37" s="53"/>
    </row>
    <row r="38" spans="2:8" hidden="1" x14ac:dyDescent="0.3">
      <c r="B38" s="5" t="str">
        <f>IF(OR(Home!$D$7="",Home!$D$8="No"),"",IF(ISBLANK(HLOOKUP(Home!$D$7,$D$2:$F$102,ROW(A37),FALSE)),"",IF(H38="",HLOOKUP(Home!$D$7,$D$2:$F$102,ROW(A37),FALSE),IF(C38=FALSE,"C"))))</f>
        <v/>
      </c>
      <c r="C38" s="5" t="b">
        <v>1</v>
      </c>
      <c r="D38" s="15"/>
      <c r="E38" s="13"/>
      <c r="F38" s="15"/>
      <c r="G38" s="9" t="s">
        <v>62</v>
      </c>
      <c r="H38" s="25"/>
    </row>
    <row r="39" spans="2:8" hidden="1" x14ac:dyDescent="0.3">
      <c r="B39" s="5" t="str">
        <f>IF(OR(Home!$D$7="",Home!$D$8="No"),"",IF(ISBLANK(HLOOKUP(Home!$D$7,$D$2:$F$102,ROW(A38),FALSE)),"",IF(H39="",HLOOKUP(Home!$D$7,$D$2:$F$102,ROW(A38),FALSE),IF(C39=FALSE,"C"))))</f>
        <v/>
      </c>
      <c r="C39" s="5" t="b">
        <f>IF(H39="",TRUE,ISNUMBER(FIND("@",H39,1)+FIND(".",H39,1)))</f>
        <v>1</v>
      </c>
      <c r="D39" s="15"/>
      <c r="E39" s="13"/>
      <c r="F39" s="15"/>
      <c r="G39" s="9" t="str">
        <f>IF(LEFT($H$38,5)="Email","Email for Receiving Orders:","")</f>
        <v/>
      </c>
      <c r="H39" s="25"/>
    </row>
    <row r="40" spans="2:8" hidden="1" x14ac:dyDescent="0.3">
      <c r="B40" s="5" t="str">
        <f>IF(OR(Home!$D$7="",Home!$D$8="No"),"",IF(ISBLANK(HLOOKUP(Home!$D$7,$D$2:$F$102,ROW(A39),FALSE)),"",IF(H40="",HLOOKUP(Home!$D$7,$D$2:$F$102,ROW(A39),FALSE),IF(C40=FALSE,"C"))))</f>
        <v/>
      </c>
      <c r="C40" s="5" t="b">
        <f>ISNUMBER(H40+0)</f>
        <v>1</v>
      </c>
      <c r="D40" s="15"/>
      <c r="E40" s="13"/>
      <c r="F40" s="15"/>
      <c r="G40" s="9" t="str">
        <f>IF($H$38="Fax","Fax Number for Receiving Orders:","")</f>
        <v/>
      </c>
      <c r="H40" s="25"/>
    </row>
    <row r="41" spans="2:8" ht="28.8" hidden="1" x14ac:dyDescent="0.3">
      <c r="B41" s="5" t="str">
        <f>IF(OR(Home!$D$7="",Home!$D$8="No"),"",IF(ISBLANK(HLOOKUP(Home!$D$7,$D$2:$F$102,ROW(A40),FALSE)),"",IF(H41="",HLOOKUP(Home!$D$7,$D$2:$F$102,ROW(A40),FALSE),IF(C41=FALSE,"C"))))</f>
        <v/>
      </c>
      <c r="C41" s="5" t="b">
        <v>1</v>
      </c>
      <c r="D41" s="15"/>
      <c r="E41" s="15"/>
      <c r="F41" s="15"/>
      <c r="G41" s="9" t="s">
        <v>63</v>
      </c>
      <c r="H41" s="25"/>
    </row>
    <row r="42" spans="2:8" hidden="1" x14ac:dyDescent="0.3">
      <c r="B42" s="5" t="str">
        <f>IF(OR(Home!$D$7="",Home!$D$8="No"),"",IF(ISBLANK(HLOOKUP(Home!$D$7,$D$2:$F$102,ROW(A41),FALSE)),"",IF(H42="",HLOOKUP(Home!$D$7,$D$2:$F$102,ROW(A41),FALSE),IF(C42=FALSE,"C"))))</f>
        <v/>
      </c>
      <c r="C42" s="5" t="b">
        <v>1</v>
      </c>
      <c r="D42" s="15"/>
      <c r="E42" s="13"/>
      <c r="F42" s="15"/>
      <c r="G42" s="9" t="str">
        <f>IF($H$41="No","Address Line 1:","")</f>
        <v/>
      </c>
      <c r="H42" s="25"/>
    </row>
    <row r="43" spans="2:8" hidden="1" x14ac:dyDescent="0.3">
      <c r="B43" s="5" t="str">
        <f>IF(OR(Home!$D$7="",Home!$D$8="No"),"",IF(ISBLANK(HLOOKUP(Home!$D$7,$D$2:$F$102,ROW(A42),FALSE)),"",IF(H43="",HLOOKUP(Home!$D$7,$D$2:$F$102,ROW(A42),FALSE),IF(C43=FALSE,"C"))))</f>
        <v/>
      </c>
      <c r="C43" s="5" t="b">
        <v>1</v>
      </c>
      <c r="D43" s="15"/>
      <c r="E43" s="13"/>
      <c r="F43" s="15"/>
      <c r="G43" s="9" t="str">
        <f>IF($H$41="No","Address Line 2:","")</f>
        <v/>
      </c>
      <c r="H43" s="25"/>
    </row>
    <row r="44" spans="2:8" hidden="1" x14ac:dyDescent="0.3">
      <c r="B44" s="5" t="str">
        <f>IF(OR(Home!$D$7="",Home!$D$8="No"),"",IF(ISBLANK(HLOOKUP(Home!$D$7,$D$2:$F$102,ROW(A43),FALSE)),"",IF(H44="",HLOOKUP(Home!$D$7,$D$2:$F$102,ROW(A43),FALSE),IF(C44=FALSE,"C"))))</f>
        <v/>
      </c>
      <c r="C44" s="5" t="b">
        <v>1</v>
      </c>
      <c r="D44" s="15"/>
      <c r="E44" s="13"/>
      <c r="F44" s="15"/>
      <c r="G44" s="9" t="str">
        <f>IF($H$41="No","City:","")</f>
        <v/>
      </c>
      <c r="H44" s="25"/>
    </row>
    <row r="45" spans="2:8" hidden="1" x14ac:dyDescent="0.3">
      <c r="B45" s="5" t="str">
        <f>IF(OR(Home!$D$7="",Home!$D$8="No"),"",IF(ISBLANK(HLOOKUP(Home!$D$7,$D$2:$F$102,ROW(A44),FALSE)),"",IF(H45="",HLOOKUP(Home!$D$7,$D$2:$F$102,ROW(A44),FALSE),IF(C45=FALSE,"C"))))</f>
        <v/>
      </c>
      <c r="C45" s="5" t="b">
        <v>1</v>
      </c>
      <c r="D45" s="15"/>
      <c r="E45" s="13"/>
      <c r="F45" s="15"/>
      <c r="G45" s="9" t="str">
        <f>IF($H$41="No","State:","")</f>
        <v/>
      </c>
      <c r="H45" s="25"/>
    </row>
    <row r="46" spans="2:8" hidden="1" x14ac:dyDescent="0.3">
      <c r="B46" s="5" t="str">
        <f>IF(OR(Home!$D$7="",Home!$D$8="No"),"",IF(ISBLANK(HLOOKUP(Home!$D$7,$D$2:$F$102,ROW(A45),FALSE)),"",IF(H46="",HLOOKUP(Home!$D$7,$D$2:$F$102,ROW(A45),FALSE),IF(C46=FALSE,"C"))))</f>
        <v/>
      </c>
      <c r="C46" s="5" t="b">
        <v>1</v>
      </c>
      <c r="D46" s="15"/>
      <c r="E46" s="13"/>
      <c r="F46" s="15"/>
      <c r="G46" s="9" t="str">
        <f>IF($H$41="No","ZIP Code:","")</f>
        <v/>
      </c>
      <c r="H46" s="25"/>
    </row>
    <row r="47" spans="2:8" hidden="1" x14ac:dyDescent="0.3">
      <c r="B47" s="5" t="str">
        <f>IF(OR(Home!$D$7="",Home!$D$8="No"),"",IF(ISBLANK(HLOOKUP(Home!$D$7,$D$2:$F$102,ROW(A46),FALSE)),"",IF(H47="",HLOOKUP(Home!$D$7,$D$2:$F$102,ROW(A46),FALSE),IF(C47=FALSE,"C"))))</f>
        <v/>
      </c>
      <c r="C47" s="5" t="b">
        <f>AND(ISNUMBER(H47+0),LEFT(H47,1)="1")</f>
        <v>0</v>
      </c>
      <c r="D47" s="15"/>
      <c r="E47" s="13"/>
      <c r="F47" s="15"/>
      <c r="G47" s="9" t="str">
        <f>IF($H$41="No","Phone:","")</f>
        <v/>
      </c>
      <c r="H47" s="25"/>
    </row>
    <row r="48" spans="2:8" ht="23.25" customHeight="1" x14ac:dyDescent="0.3">
      <c r="B48" s="5" t="str">
        <f>IF(OR(Home!$D$7="",Home!$D$8="No"),"",IF(ISBLANK(HLOOKUP(Home!$D$7,$D$2:$F$102,ROW(A47),FALSE)),"",IF(H48="",HLOOKUP(Home!$D$7,$D$2:$F$102,ROW(A47),FALSE),IF(C48=FALSE,"C"))))</f>
        <v/>
      </c>
      <c r="C48" s="5" t="b">
        <v>1</v>
      </c>
      <c r="D48" s="15"/>
      <c r="E48" s="15" t="str">
        <f t="shared" ref="E48" si="6">IF(COUNTIF($B$4:$B$7,"R")&gt;0,"","Y")</f>
        <v>Y</v>
      </c>
      <c r="F48" s="15"/>
      <c r="G48" s="48" t="s">
        <v>64</v>
      </c>
      <c r="H48" s="53"/>
    </row>
    <row r="49" spans="2:8" ht="33.75" customHeight="1" x14ac:dyDescent="0.3">
      <c r="B49" s="5" t="str">
        <f>IF(OR(Home!$D$7="",Home!$D$8="No"),"",IF(ISBLANK(HLOOKUP(Home!$D$7,$D$2:$F$102,ROW(A48),FALSE)),"",IF(H49="",HLOOKUP(Home!$D$7,$D$2:$F$102,ROW(A48),FALSE),IF(C49=FALSE,"C"))))</f>
        <v/>
      </c>
      <c r="C49" s="5" t="b">
        <v>1</v>
      </c>
      <c r="D49" s="15"/>
      <c r="E49" s="15" t="str">
        <f>IF(COUNTIF($B$4:$B$7,"R")&gt;0,"",IF($H$5="Yes","Y","R"))</f>
        <v>R</v>
      </c>
      <c r="F49" s="15"/>
      <c r="G49" s="9" t="s">
        <v>65</v>
      </c>
      <c r="H49" s="25"/>
    </row>
    <row r="50" spans="2:8" x14ac:dyDescent="0.3">
      <c r="B50" s="5" t="str">
        <f>IF(OR(Home!$D$7="",Home!$D$8="No"),"",IF(ISBLANK(HLOOKUP(Home!$D$7,$D$2:$F$102,ROW(A49),FALSE)),"",IF(H50="",HLOOKUP(Home!$D$7,$D$2:$F$102,ROW(A49),FALSE),IF(C50=FALSE,"C"))))</f>
        <v/>
      </c>
      <c r="C50" s="5" t="b">
        <v>1</v>
      </c>
      <c r="D50" s="15"/>
      <c r="E50" s="15" t="str">
        <f>IF(COUNTIF($B$4:$B$7,"R")&gt;0,"",IF(OR($H$5="Yes",$H$49="Yes",$H$49=""),"Y","R"))</f>
        <v>Y</v>
      </c>
      <c r="F50" s="15"/>
      <c r="G50" s="9" t="str">
        <f>IF($H$49="No","Address Line 1:","")</f>
        <v/>
      </c>
      <c r="H50" s="25"/>
    </row>
    <row r="51" spans="2:8" x14ac:dyDescent="0.3">
      <c r="B51" s="5" t="str">
        <f>IF(OR(Home!$D$7="",Home!$D$8="No"),"",IF(ISBLANK(HLOOKUP(Home!$D$7,$D$2:$F$102,ROW(A50),FALSE)),"",IF(H51="",HLOOKUP(Home!$D$7,$D$2:$F$102,ROW(A50),FALSE),IF(C51=FALSE,"C"))))</f>
        <v/>
      </c>
      <c r="C51" s="5" t="b">
        <v>1</v>
      </c>
      <c r="D51" s="15"/>
      <c r="E51" s="15" t="str">
        <f t="shared" ref="E51" si="7">IF(COUNTIF($B$4:$B$7,"R")&gt;0,"","Y")</f>
        <v>Y</v>
      </c>
      <c r="F51" s="15"/>
      <c r="G51" s="9" t="str">
        <f>IF($H$49="No","Address Line 2:","")</f>
        <v/>
      </c>
      <c r="H51" s="25"/>
    </row>
    <row r="52" spans="2:8" x14ac:dyDescent="0.3">
      <c r="B52" s="5" t="str">
        <f>IF(OR(Home!$D$7="",Home!$D$8="No"),"",IF(ISBLANK(HLOOKUP(Home!$D$7,$D$2:$F$102,ROW(A51),FALSE)),"",IF(H52="",HLOOKUP(Home!$D$7,$D$2:$F$102,ROW(A51),FALSE),IF(C52=FALSE,"C"))))</f>
        <v/>
      </c>
      <c r="C52" s="5" t="b">
        <v>1</v>
      </c>
      <c r="D52" s="15"/>
      <c r="E52" s="15" t="str">
        <f t="shared" ref="E52:E56" si="8">IF(COUNTIF($B$4:$B$7,"R")&gt;0,"",IF(OR($H$5="Yes",$H$49="Yes",$H$49=""),"Y","R"))</f>
        <v>Y</v>
      </c>
      <c r="F52" s="15"/>
      <c r="G52" s="9" t="str">
        <f>IF($H$49="No","City:","")</f>
        <v/>
      </c>
      <c r="H52" s="25"/>
    </row>
    <row r="53" spans="2:8" x14ac:dyDescent="0.3">
      <c r="B53" s="5" t="str">
        <f>IF(OR(Home!$D$7="",Home!$D$8="No"),"",IF(ISBLANK(HLOOKUP(Home!$D$7,$D$2:$F$102,ROW(A52),FALSE)),"",IF(H53="",HLOOKUP(Home!$D$7,$D$2:$F$102,ROW(A52),FALSE),IF(C53=FALSE,"C"))))</f>
        <v/>
      </c>
      <c r="C53" s="5" t="b">
        <v>1</v>
      </c>
      <c r="D53" s="15"/>
      <c r="E53" s="15" t="str">
        <f t="shared" si="8"/>
        <v>Y</v>
      </c>
      <c r="F53" s="15"/>
      <c r="G53" s="9" t="str">
        <f>IF($H$49="No","State:","")</f>
        <v/>
      </c>
      <c r="H53" s="25"/>
    </row>
    <row r="54" spans="2:8" x14ac:dyDescent="0.3">
      <c r="B54" s="5" t="str">
        <f>IF(OR(Home!$D$7="",Home!$D$8="No"),"",IF(ISBLANK(HLOOKUP(Home!$D$7,$D$2:$F$102,ROW(A53),FALSE)),"",IF(H54="",HLOOKUP(Home!$D$7,$D$2:$F$102,ROW(A53),FALSE),IF(C54=FALSE,"C"))))</f>
        <v/>
      </c>
      <c r="C54" s="5" t="b">
        <v>1</v>
      </c>
      <c r="D54" s="15"/>
      <c r="E54" s="15" t="str">
        <f t="shared" si="8"/>
        <v>Y</v>
      </c>
      <c r="F54" s="15"/>
      <c r="G54" s="9" t="str">
        <f>IF($H$49="No","ZIP Code:","")</f>
        <v/>
      </c>
      <c r="H54" s="25"/>
    </row>
    <row r="55" spans="2:8" x14ac:dyDescent="0.3">
      <c r="B55" s="5" t="str">
        <f>IF(OR(Home!$D$7="",Home!$D$8="No"),"",IF(ISBLANK(HLOOKUP(Home!$D$7,$D$2:$F$102,ROW(A54),FALSE)),"",IF(H55="",HLOOKUP(Home!$D$7,$D$2:$F$102,ROW(A54),FALSE),IF(C55=FALSE,"C"))))</f>
        <v/>
      </c>
      <c r="C55" s="5" t="b">
        <f>AND(ISNUMBER(H55+0),LEFT(H55,1)="1")</f>
        <v>0</v>
      </c>
      <c r="D55" s="15"/>
      <c r="E55" s="15" t="str">
        <f t="shared" si="8"/>
        <v>Y</v>
      </c>
      <c r="F55" s="15"/>
      <c r="G55" s="9" t="str">
        <f>IF($H$49="No","Phone:","")</f>
        <v/>
      </c>
      <c r="H55" s="25"/>
    </row>
    <row r="56" spans="2:8" x14ac:dyDescent="0.3">
      <c r="B56" s="5" t="str">
        <f>IF(OR(Home!$D$7="",Home!$D$8="No"),"",IF(ISBLANK(HLOOKUP(Home!$D$7,$D$2:$F$102,ROW(A55),FALSE)),"",IF(H56="",HLOOKUP(Home!$D$7,$D$2:$F$102,ROW(A55),FALSE),IF(C56=FALSE,"C"))))</f>
        <v/>
      </c>
      <c r="C56" s="5" t="b">
        <f>IF(H56="",TRUE,ISNUMBER(FIND("@",H56,1)+FIND(".",H56,1)))</f>
        <v>1</v>
      </c>
      <c r="D56" s="15"/>
      <c r="E56" s="15" t="str">
        <f t="shared" si="8"/>
        <v>Y</v>
      </c>
      <c r="F56" s="15"/>
      <c r="G56" s="9" t="str">
        <f>IF($H$49="No","Email:","")</f>
        <v/>
      </c>
      <c r="H56" s="25"/>
    </row>
    <row r="57" spans="2:8" ht="23.25" customHeight="1" x14ac:dyDescent="0.3">
      <c r="B57" s="5" t="str">
        <f>IF(OR(Home!$D$7="",Home!$D$8="No"),"",IF(ISBLANK(HLOOKUP(Home!$D$7,$D$2:$F$102,ROW(A56),FALSE)),"",IF(H57="",HLOOKUP(Home!$D$7,$D$2:$F$102,ROW(A56),FALSE),IF(C57=FALSE,"C"))))</f>
        <v/>
      </c>
      <c r="C57" s="5" t="b">
        <v>1</v>
      </c>
      <c r="D57" s="15"/>
      <c r="E57" s="15" t="str">
        <f t="shared" ref="E57:E58" si="9">IF(COUNTIF($B$4:$B$7,"R")&gt;0,"","Y")</f>
        <v>Y</v>
      </c>
      <c r="F57" s="15"/>
      <c r="G57" s="48" t="s">
        <v>23</v>
      </c>
      <c r="H57" s="53"/>
    </row>
    <row r="58" spans="2:8" x14ac:dyDescent="0.3">
      <c r="B58" s="5" t="str">
        <f>IF(OR(Home!$D$7="",Home!$D$8="No"),"",IF(ISBLANK(HLOOKUP(Home!$D$7,$D$2:$F$102,ROW(A57),FALSE)),"",IF(H58="",HLOOKUP(Home!$D$7,$D$2:$F$102,ROW(A57),FALSE),IF(C58=FALSE,"C"))))</f>
        <v/>
      </c>
      <c r="C58" s="5" t="b">
        <v>1</v>
      </c>
      <c r="D58" s="15"/>
      <c r="E58" s="15" t="str">
        <f t="shared" si="9"/>
        <v>Y</v>
      </c>
      <c r="F58" s="15"/>
      <c r="G58" s="59" t="s">
        <v>66</v>
      </c>
      <c r="H58" s="60"/>
    </row>
    <row r="59" spans="2:8" ht="43.2" x14ac:dyDescent="0.3">
      <c r="B59" s="5" t="str">
        <f>IF(OR(Home!$D$7="",Home!$D$8="No"),"",IF(ISBLANK(HLOOKUP(Home!$D$7,$D$2:$F$102,ROW(A58),FALSE)),"",IF(H59="",HLOOKUP(Home!$D$7,$D$2:$F$102,ROW(A58),FALSE),IF(C59=FALSE,"C"))))</f>
        <v/>
      </c>
      <c r="C59" s="5" t="b">
        <v>1</v>
      </c>
      <c r="D59" s="15"/>
      <c r="E59" s="15" t="str">
        <f t="shared" ref="E59:E64" si="10">IF(COUNTIF($B$4:$B$7,"R")&gt;0,"",IF($H$5="Yes","Y","R"))</f>
        <v>R</v>
      </c>
      <c r="F59" s="15"/>
      <c r="G59" s="9" t="s">
        <v>67</v>
      </c>
      <c r="H59" s="25"/>
    </row>
    <row r="60" spans="2:8" ht="86.4" x14ac:dyDescent="0.3">
      <c r="B60" s="5" t="str">
        <f>IF(OR(Home!$D$7="",Home!$D$8="No"),"",IF(ISBLANK(HLOOKUP(Home!$D$7,$D$2:$F$102,ROW(A59),FALSE)),"",IF(H60="",HLOOKUP(Home!$D$7,$D$2:$F$102,ROW(A59),FALSE),IF(C60=FALSE,"C"))))</f>
        <v/>
      </c>
      <c r="C60" s="5" t="b">
        <v>1</v>
      </c>
      <c r="D60" s="15"/>
      <c r="E60" s="15" t="str">
        <f t="shared" si="10"/>
        <v>R</v>
      </c>
      <c r="F60" s="15"/>
      <c r="G60" s="9" t="s">
        <v>68</v>
      </c>
      <c r="H60" s="25"/>
    </row>
    <row r="61" spans="2:8" ht="43.2" hidden="1" x14ac:dyDescent="0.3">
      <c r="B61" s="5" t="str">
        <f>IF(OR(Home!$D$7="",Home!$D$8="No"),"",IF(ISBLANK(HLOOKUP(Home!$D$7,$D$2:$F$102,ROW(A60),FALSE)),"",IF(H61="",HLOOKUP(Home!$D$7,$D$2:$F$102,ROW(A60),FALSE),IF(C61=FALSE,"C"))))</f>
        <v/>
      </c>
      <c r="C61" s="5" t="b">
        <v>1</v>
      </c>
      <c r="D61" s="15"/>
      <c r="E61" s="15"/>
      <c r="F61" s="15"/>
      <c r="G61" s="9" t="s">
        <v>69</v>
      </c>
      <c r="H61" s="25"/>
    </row>
    <row r="62" spans="2:8" ht="86.4" hidden="1" x14ac:dyDescent="0.3">
      <c r="B62" s="5" t="str">
        <f>IF(OR(Home!$D$7="",Home!$D$8="No"),"",IF(ISBLANK(HLOOKUP(Home!$D$7,$D$2:$F$102,ROW(A61),FALSE)),"",IF(H62="",HLOOKUP(Home!$D$7,$D$2:$F$102,ROW(A61),FALSE),IF(C62=FALSE,"C"))))</f>
        <v/>
      </c>
      <c r="C62" s="5" t="b">
        <v>1</v>
      </c>
      <c r="D62" s="15"/>
      <c r="E62" s="15"/>
      <c r="F62" s="15"/>
      <c r="G62" s="9" t="s">
        <v>70</v>
      </c>
      <c r="H62" s="25"/>
    </row>
    <row r="63" spans="2:8" x14ac:dyDescent="0.3">
      <c r="B63" s="5" t="str">
        <f>IF(OR(Home!$D$7="",Home!$D$8="No"),"",IF(ISBLANK(HLOOKUP(Home!$D$7,$D$2:$F$102,ROW(A62),FALSE)),"",IF(H63="",HLOOKUP(Home!$D$7,$D$2:$F$102,ROW(A62),FALSE),IF(C63=FALSE,"C"))))</f>
        <v/>
      </c>
      <c r="C63" s="5" t="b">
        <v>1</v>
      </c>
      <c r="D63" s="15"/>
      <c r="E63" s="15" t="str">
        <f t="shared" si="10"/>
        <v>R</v>
      </c>
      <c r="F63" s="15"/>
      <c r="G63" s="9" t="str">
        <f>IF(Home!$D$7="Company","5. Are you or any Officer, Owner or Partner in this company an employee of Emory University?",IF(Home!$D$7="Individual","5. Are you an employee of Emory University?",""))</f>
        <v/>
      </c>
      <c r="H63" s="25"/>
    </row>
    <row r="64" spans="2:8" ht="76.2" customHeight="1" x14ac:dyDescent="0.3">
      <c r="B64" s="5" t="str">
        <f>IF(OR(Home!$D$7="",Home!$D$8="No"),"",IF(ISBLANK(HLOOKUP(Home!$D$7,$D$2:$F$102,ROW(A63),FALSE)),"",IF(H64="",HLOOKUP(Home!$D$7,$D$2:$F$102,ROW(A63),FALSE),IF(C64=FALSE,"C"))))</f>
        <v/>
      </c>
      <c r="C64" s="5" t="b">
        <v>1</v>
      </c>
      <c r="D64" s="15"/>
      <c r="E64" s="15" t="str">
        <f t="shared" si="10"/>
        <v>R</v>
      </c>
      <c r="F64" s="15"/>
      <c r="G64" s="35" t="str">
        <f>HYPERLINK("https://emory.ellucid.com/documents/view/17693/?security=353f1df192117ef8139f94032abe5f3cd53a8395",CONCATENATE("6. Is a direct family member of any of the above an Emory University employee (spouse, partner, etc.)?"," Any existing or proposed relationship, transaction, or other event which may raise a conflict of interest is to be disclosed. For detail, click here:"))</f>
        <v>6. Is a direct family member of any of the above an Emory University employee (spouse, partner, etc.)? Any existing or proposed relationship, transaction, or other event which may raise a conflict of interest is to be disclosed. For detail, click here:</v>
      </c>
      <c r="H64" s="25"/>
    </row>
    <row r="65" spans="2:8" ht="30.75" customHeight="1" x14ac:dyDescent="0.3">
      <c r="B65" s="5" t="str">
        <f>IF(OR(Home!$D$7="",Home!$D$8="No"),"",IF(ISBLANK(HLOOKUP(Home!$D$7,$D$2:$F$102,ROW(A64),FALSE)),"",IF(H65="",HLOOKUP(Home!$D$7,$D$2:$F$102,ROW(A64),FALSE),IF(C65=FALSE,"C"))))</f>
        <v/>
      </c>
      <c r="C65" s="5" t="b">
        <v>1</v>
      </c>
      <c r="D65" s="15"/>
      <c r="E65" s="15" t="str">
        <f>IF(COUNTIF($B$4:$B$7,"R")&gt;0,"",IF($H$64="Yes","R","Y"))</f>
        <v>Y</v>
      </c>
      <c r="F65" s="15"/>
      <c r="G65" s="9" t="str">
        <f>IF($H$64="Yes","6a. Please provide the name of the direct family member who is an Emory University employee:","")</f>
        <v/>
      </c>
      <c r="H65" s="25"/>
    </row>
    <row r="66" spans="2:8" ht="30.75" customHeight="1" x14ac:dyDescent="0.3">
      <c r="B66" s="5" t="str">
        <f>IF(OR(Home!$D$7="",Home!$D$8="No"),"",IF(ISBLANK(HLOOKUP(Home!$D$7,$D$2:$F$102,ROW(A65),FALSE)),"",IF(H66="",HLOOKUP(Home!$D$7,$D$2:$F$102,ROW(A65),FALSE),IF(C66=FALSE,"C"))))</f>
        <v/>
      </c>
      <c r="C66" s="5" t="b">
        <v>1</v>
      </c>
      <c r="D66" s="15"/>
      <c r="E66" s="15" t="str">
        <f>IF(COUNTIF($B$4:$B$7,"R")&gt;0,"",IF($H$64="Yes","R","Y"))</f>
        <v>Y</v>
      </c>
      <c r="F66" s="15"/>
      <c r="G66" s="9" t="str">
        <f>IF($H$64="Yes","6b. Please provide the relationship of the direct family member to the Emory University Employee:","")</f>
        <v/>
      </c>
      <c r="H66" s="25"/>
    </row>
    <row r="67" spans="2:8" ht="72" hidden="1" x14ac:dyDescent="0.3">
      <c r="B67" s="5" t="str">
        <f>IF(OR(Home!$D$7="",Home!$D$8="No"),"",IF(ISBLANK(HLOOKUP(Home!$D$7,$D$2:$F$102,ROW(A66),FALSE)),"",IF(H67="",HLOOKUP(Home!$D$7,$D$2:$F$102,ROW(A66),FALSE),IF(C67=FALSE,"C"))))</f>
        <v/>
      </c>
      <c r="C67" s="5" t="b">
        <v>1</v>
      </c>
      <c r="D67" s="15"/>
      <c r="E67" s="13"/>
      <c r="F67" s="15"/>
      <c r="G67" s="9" t="s">
        <v>71</v>
      </c>
      <c r="H67" s="25"/>
    </row>
    <row r="68" spans="2:8" ht="45.75" hidden="1" customHeight="1" x14ac:dyDescent="0.3">
      <c r="B68" s="5" t="str">
        <f>IF(OR(Home!$D$7="",Home!$D$8="No"),"",IF(ISBLANK(HLOOKUP(Home!$D$7,$D$2:$F$102,ROW(A67),FALSE)),"",IF(H68="",HLOOKUP(Home!$D$7,$D$2:$F$102,ROW(A67),FALSE),IF(C68=FALSE,"C"))))</f>
        <v/>
      </c>
      <c r="C68" s="5" t="b">
        <f>IF(H68="",TRUE,ISNUMBER(FIND("@",H68,1)+FIND(".",H68,1)))</f>
        <v>1</v>
      </c>
      <c r="D68" s="15"/>
      <c r="E68" s="13"/>
      <c r="F68" s="15"/>
      <c r="G68" s="9" t="str">
        <f>IF($H$67='Drop Down'!$D$2,"7a. Please provide the email address where you would want us to send the notification of our payment to you for SUA Payments.","")</f>
        <v/>
      </c>
      <c r="H68" s="26"/>
    </row>
    <row r="69" spans="2:8" hidden="1" x14ac:dyDescent="0.3">
      <c r="B69" s="5" t="str">
        <f>IF(OR(Home!$D$7="",Home!$D$8="No"),"",IF(ISBLANK(HLOOKUP(Home!$D$7,$D$2:$F$102,ROW(A68),FALSE)),"",IF(H69="",HLOOKUP(Home!$D$7,$D$2:$F$102,ROW(A68),FALSE),IF(C69=FALSE,"C"))))</f>
        <v/>
      </c>
      <c r="C69" s="5" t="b">
        <v>1</v>
      </c>
      <c r="D69" s="15"/>
      <c r="E69" s="13"/>
      <c r="F69" s="15"/>
      <c r="G69" s="9" t="str">
        <f>IF($H$67='Drop Down'!$D$5,"7b. Please specify the payment terms that is stated in the contract with Emory.","")</f>
        <v/>
      </c>
      <c r="H69" s="37"/>
    </row>
    <row r="70" spans="2:8" ht="45.75" hidden="1" customHeight="1" x14ac:dyDescent="0.3">
      <c r="B70" s="5" t="str">
        <f>IF(OR(Home!$D$7="",Home!$D$8="No"),"",IF(ISBLANK(HLOOKUP(Home!$D$7,$D$2:$F$102,ROW(A69),FALSE)),"",IF(H70="",HLOOKUP(Home!$D$7,$D$2:$F$102,ROW(A69),FALSE),IF(C70=FALSE,"C"))))</f>
        <v/>
      </c>
      <c r="C70" s="5" t="b">
        <v>1</v>
      </c>
      <c r="D70" s="15"/>
      <c r="E70" s="13"/>
      <c r="F70" s="15"/>
      <c r="G70" s="9" t="str">
        <f>IF($H$67='Drop Down'!$D$5,"7c. When submitting this form, please validate you will submit a copy of the fully executed contract containing the payment term language.","")</f>
        <v/>
      </c>
      <c r="H70" s="37"/>
    </row>
    <row r="71" spans="2:8" hidden="1" x14ac:dyDescent="0.3">
      <c r="B71" s="5" t="str">
        <f>IF(OR(Home!$D$7="",Home!$D$8="No"),"",IF(ISBLANK(HLOOKUP(Home!$D$7,$D$2:$F$102,ROW(A70),FALSE)),"",IF(H71="",HLOOKUP(Home!$D$7,$D$2:$F$102,ROW(A70),FALSE),IF(C71=FALSE,"C"))))</f>
        <v/>
      </c>
      <c r="C71" s="5" t="b">
        <v>1</v>
      </c>
      <c r="D71" s="15"/>
      <c r="E71" s="13"/>
      <c r="F71" s="15"/>
      <c r="G71" s="9" t="str">
        <f>IF($H$67='Drop Down'!$D$5,"7d. Please indicate what page number within the fully executed contract, the payment terms can be found.","")</f>
        <v/>
      </c>
      <c r="H71" s="36"/>
    </row>
    <row r="72" spans="2:8" ht="70.2" customHeight="1" x14ac:dyDescent="0.3">
      <c r="B72" s="5" t="str">
        <f>IF(OR(Home!$D$7="",Home!$D$8="No"),"",IF(ISBLANK(HLOOKUP(Home!$D$7,$D$2:$F$102,ROW(A71),FALSE)),"",IF(H72="",HLOOKUP(Home!$D$7,$D$2:$F$102,ROW(A71),FALSE),IF(C72=FALSE,"C"))))</f>
        <v/>
      </c>
      <c r="C72" s="5" t="b">
        <v>1</v>
      </c>
      <c r="D72" s="15"/>
      <c r="E72" s="15" t="str">
        <f t="shared" ref="E72" si="11">IF(COUNTIF($B$4:$B$7,"R")&gt;0,"",IF($H$5="Yes","Y","R"))</f>
        <v>R</v>
      </c>
      <c r="F72" s="15"/>
      <c r="G72" s="9" t="str">
        <f>IF(AND(Home!$D$7="Company",OR($H$67="",RIGHT($H$67,8)="Program.")),"",CONCATENATE("8. Do you want to be paid via ACH/Direct Deposit? If No is selected, payment will be remitted via check sent to the billing address provided above."," Please note that payments via check take significantly longer to process in comparision to ACH/Direct Deposit."))</f>
        <v>8. Do you want to be paid via ACH/Direct Deposit? If No is selected, payment will be remitted via check sent to the billing address provided above. Please note that payments via check take significantly longer to process in comparision to ACH/Direct Deposit.</v>
      </c>
      <c r="H72" s="25"/>
    </row>
    <row r="73" spans="2:8" ht="72" hidden="1" x14ac:dyDescent="0.3">
      <c r="B73" s="5" t="str">
        <f>IF(OR(Home!$D$7="",Home!$D$8="No"),"",IF(ISBLANK(HLOOKUP(Home!$D$7,$D$2:$F$102,ROW(A72),FALSE)),"",IF(H73="",HLOOKUP(Home!$D$7,$D$2:$F$102,ROW(A72),FALSE),IF(C73=FALSE,"C"))))</f>
        <v/>
      </c>
      <c r="C73" s="5" t="b">
        <v>1</v>
      </c>
      <c r="D73" s="15"/>
      <c r="E73" s="13"/>
      <c r="F73" s="15"/>
      <c r="G73" s="9" t="s">
        <v>72</v>
      </c>
      <c r="H73" s="25"/>
    </row>
    <row r="74" spans="2:8" ht="43.2" x14ac:dyDescent="0.3">
      <c r="B74" s="5" t="str">
        <f>IF(OR(Home!$D$7="",Home!$D$8="No"),"",IF(ISBLANK(HLOOKUP(Home!$D$7,$D$2:$F$102,ROW(A73),FALSE)),"",IF(H74="",HLOOKUP(Home!$D$7,$D$2:$F$102,ROW(A73),FALSE),IF(C74=FALSE,"C"))))</f>
        <v/>
      </c>
      <c r="C74" s="5" t="b">
        <v>1</v>
      </c>
      <c r="D74" s="15"/>
      <c r="E74" s="15" t="str">
        <f t="shared" ref="E74:E76" si="12">IF(COUNTIF($B$4:$B$7,"R")&gt;0,"",IF($H$5="Yes","Y","R"))</f>
        <v>R</v>
      </c>
      <c r="F74" s="15"/>
      <c r="G74" s="9" t="s">
        <v>73</v>
      </c>
      <c r="H74" s="25"/>
    </row>
    <row r="75" spans="2:8" ht="155.25" customHeight="1" x14ac:dyDescent="0.3">
      <c r="B75" s="5" t="str">
        <f>IF(OR(Home!$D$7="",Home!$D$8="No"),"",IF(ISBLANK(HLOOKUP(Home!$D$7,$D$2:$F$102,ROW(A74),FALSE)),"",IF(H75="",HLOOKUP(Home!$D$7,$D$2:$F$102,ROW(A74),FALSE),IF(C75=FALSE,"C"))))</f>
        <v/>
      </c>
      <c r="C75" s="1" t="b">
        <v>1</v>
      </c>
      <c r="D75" s="15"/>
      <c r="E75" s="15" t="str">
        <f t="shared" si="12"/>
        <v>R</v>
      </c>
      <c r="F75" s="15"/>
      <c r="G75"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5" s="32"/>
    </row>
    <row r="76" spans="2:8" ht="19.5" customHeight="1" x14ac:dyDescent="0.3">
      <c r="B76" s="5" t="str">
        <f>IF(OR(Home!$D$7="",Home!$D$8="No"),"",IF(ISBLANK(HLOOKUP(Home!$D$7,$D$2:$F$102,ROW(A75),FALSE)),"",IF(H76="",HLOOKUP(Home!$D$7,$D$2:$F$102,ROW(A75),FALSE),IF(C76=FALSE,"C"))))</f>
        <v/>
      </c>
      <c r="C76" s="5" t="b">
        <v>1</v>
      </c>
      <c r="D76" s="15"/>
      <c r="E76" s="15" t="str">
        <f t="shared" si="12"/>
        <v>R</v>
      </c>
      <c r="F76" s="15"/>
      <c r="G76" s="9" t="s">
        <v>25</v>
      </c>
      <c r="H76" s="27"/>
    </row>
    <row r="77" spans="2:8" ht="15" customHeight="1" x14ac:dyDescent="0.3">
      <c r="B77" s="5" t="str">
        <f>IF(OR(Home!$D$7="",Home!$D$8="No"),"",IF(ISBLANK(HLOOKUP(Home!$D$7,$D$2:$F$102,ROW(A76),FALSE)),"",IF(H77="",HLOOKUP(Home!$D$7,$D$2:$F$102,ROW(A76),FALSE),IF(C77=FALSE,"C"))))</f>
        <v/>
      </c>
      <c r="C77" s="5" t="b">
        <v>1</v>
      </c>
      <c r="D77" s="15"/>
      <c r="E77" s="15" t="str">
        <f t="shared" ref="E77" si="13">IF(COUNTIF($B$4:$B$7,"R")&gt;0,"","Y")</f>
        <v>Y</v>
      </c>
      <c r="F77" s="15"/>
      <c r="G77" s="48"/>
      <c r="H77" s="53"/>
    </row>
    <row r="78" spans="2:8" ht="25.8" x14ac:dyDescent="0.3">
      <c r="B78" s="5" t="str">
        <f>IF(OR(Home!$D$7="",Home!$D$8="No"),"",IF(ISBLANK(HLOOKUP(Home!$D$7,$D$2:$F$102,ROW(A77),FALSE)),"",IF(H78="",HLOOKUP(Home!$D$7,$D$2:$F$102,ROW(A77),FALSE),IF(C78=FALSE,"C"))))</f>
        <v/>
      </c>
      <c r="C78" s="1" t="b">
        <v>1</v>
      </c>
      <c r="D78" s="16"/>
      <c r="E78" s="16" t="str">
        <f>IF(COUNTIF($B$4:$B$7,"R")&gt;0,"",IF(OR($H$5="Yes",$H$72="Yes"),"Y",""))</f>
        <v/>
      </c>
      <c r="F78" s="14"/>
      <c r="G78" s="56" t="s">
        <v>74</v>
      </c>
      <c r="H78" s="56"/>
    </row>
    <row r="79" spans="2:8" x14ac:dyDescent="0.3">
      <c r="B79" s="5" t="str">
        <f>IF(OR(Home!$D$7="",Home!$D$8="No"),"",IF(ISBLANK(HLOOKUP(Home!$D$7,$D$2:$F$102,ROW(A78),FALSE)),"",IF(H79="",HLOOKUP(Home!$D$7,$D$2:$F$102,ROW(A78),FALSE),IF(C79=FALSE,"C"))))</f>
        <v/>
      </c>
      <c r="C79" s="1" t="b">
        <v>1</v>
      </c>
      <c r="D79" s="16"/>
      <c r="E79" s="16" t="str">
        <f>IF(COUNTIF($B$4:$B$7,"R")&gt;0,"",IF(OR($H$5="Yes",$H$72="Yes"),"Y",""))</f>
        <v/>
      </c>
      <c r="F79" s="14"/>
      <c r="G79" s="57" t="str">
        <f>Home!D7&amp;" Information"</f>
        <v xml:space="preserve"> Information</v>
      </c>
      <c r="H79" s="58"/>
    </row>
    <row r="80" spans="2:8" x14ac:dyDescent="0.3">
      <c r="B80" s="5" t="str">
        <f>IF(OR(Home!$D$7="",Home!$D$8="No"),"",IF(ISBLANK(HLOOKUP(Home!$D$7,$D$2:$F$102,ROW(A79),FALSE)),"",IF(H80="",HLOOKUP(Home!$D$7,$D$2:$F$102,ROW(A79),FALSE),IF(C80=FALSE,"C"))))</f>
        <v/>
      </c>
      <c r="C80" s="1" t="b">
        <v>1</v>
      </c>
      <c r="D80" s="16"/>
      <c r="E80" s="16" t="str">
        <f>IF(COUNTIF($B$4:$B$7,"R")&gt;0,"",IF(OR($H$5="Yes",$H$72="Yes"),"R",""))</f>
        <v/>
      </c>
      <c r="F80" s="14"/>
      <c r="G80" s="3" t="str">
        <f>Home!D7&amp;" Name:"</f>
        <v xml:space="preserve"> Name:</v>
      </c>
      <c r="H80" s="25"/>
    </row>
    <row r="81" spans="2:8" hidden="1" x14ac:dyDescent="0.3">
      <c r="B81" s="5" t="str">
        <f>IF(OR(Home!$D$7="",Home!$D$8="No"),"",IF(ISBLANK(HLOOKUP(Home!$D$7,$D$2:$F$102,ROW(A80),FALSE)),"",IF(H81="",HLOOKUP(Home!$D$7,$D$2:$F$102,ROW(A80),FALSE),IF(C81=FALSE,"C"))))</f>
        <v/>
      </c>
      <c r="C81" s="1" t="b">
        <v>1</v>
      </c>
      <c r="D81" s="16"/>
      <c r="E81" s="14"/>
      <c r="F81" s="14"/>
      <c r="G81" s="3" t="str">
        <f>Home!D7&amp;" Division Name:"</f>
        <v xml:space="preserve"> Division Name:</v>
      </c>
      <c r="H81" s="25"/>
    </row>
    <row r="82" spans="2:8" hidden="1" x14ac:dyDescent="0.3">
      <c r="B82" s="5" t="str">
        <f>IF(OR(Home!$D$7="",Home!$D$8="No"),"",IF(ISBLANK(HLOOKUP(Home!$D$7,$D$2:$F$102,ROW(A81),FALSE)),"",IF(H82="",HLOOKUP(Home!$D$7,$D$2:$F$102,ROW(A81),FALSE),IF(C82=FALSE,"C"))))</f>
        <v/>
      </c>
      <c r="C82" s="5" t="b">
        <f>ISNUMBER(H82+0)</f>
        <v>1</v>
      </c>
      <c r="D82" s="16"/>
      <c r="E82" s="13"/>
      <c r="F82" s="13"/>
      <c r="G82" s="9" t="s">
        <v>52</v>
      </c>
      <c r="H82" s="25"/>
    </row>
    <row r="83" spans="2:8" x14ac:dyDescent="0.3">
      <c r="B83" s="5" t="str">
        <f>IF(OR(Home!$D$7="",Home!$D$8="No"),"",IF(ISBLANK(HLOOKUP(Home!$D$7,$D$2:$F$102,ROW(A82),FALSE)),"",IF(H83="",HLOOKUP(Home!$D$7,$D$2:$F$102,ROW(A82),FALSE),IF(C83=FALSE,"C"))))</f>
        <v/>
      </c>
      <c r="C83" s="5" t="b">
        <f>ISNUMBER(H83+0)</f>
        <v>1</v>
      </c>
      <c r="D83" s="16"/>
      <c r="E83" s="16" t="str">
        <f>IF(COUNTIF($B$4:$B$7,"R")&gt;0,"",IF(OR($H$5="Yes",$H$72="Yes"),"R",""))</f>
        <v/>
      </c>
      <c r="F83" s="15"/>
      <c r="G83" s="9" t="str">
        <f>IF(OR(Home!$D$7="Study Participant",Home!$D$7="Individual"),"Social Security Number (9 Digits):","Taxpayer Identification Number (9 Digits):")</f>
        <v>Taxpayer Identification Number (9 Digits):</v>
      </c>
      <c r="H83" s="25"/>
    </row>
    <row r="84" spans="2:8" x14ac:dyDescent="0.3">
      <c r="B84" s="5" t="str">
        <f>IF(OR(Home!$D$7="",Home!$D$8="No"),"",IF(ISBLANK(HLOOKUP(Home!$D$7,$D$2:$F$102,ROW(A83),FALSE)),"",IF(H84="",HLOOKUP(Home!$D$7,$D$2:$F$102,ROW(A83),FALSE),IF(C84=FALSE,"C"))))</f>
        <v/>
      </c>
      <c r="C84" s="5" t="b">
        <v>1</v>
      </c>
      <c r="D84" s="16"/>
      <c r="E84" s="16" t="str">
        <f>IF(COUNTIF($B$4:$B$7,"R")&gt;0,"",IF(OR($H$5="Yes",$H$72="Yes"),"R",""))</f>
        <v/>
      </c>
      <c r="F84" s="14"/>
      <c r="G84" s="3" t="str">
        <f>Home!D7&amp;" ACH Remittance Contact Name:"</f>
        <v xml:space="preserve"> ACH Remittance Contact Name:</v>
      </c>
      <c r="H84" s="25"/>
    </row>
    <row r="85" spans="2:8" x14ac:dyDescent="0.3">
      <c r="B85" s="5" t="str">
        <f>IF(OR(Home!$D$7="",Home!$D$8="No"),"",IF(ISBLANK(HLOOKUP(Home!$D$7,$D$2:$F$102,ROW(A84),FALSE)),"",IF(H85="",HLOOKUP(Home!$D$7,$D$2:$F$102,ROW(A84),FALSE),IF(C85=FALSE,"C"))))</f>
        <v/>
      </c>
      <c r="C85" s="5" t="b">
        <f>AND(ISNUMBER(H85+0),LEFT(H85,1)="1")</f>
        <v>0</v>
      </c>
      <c r="D85" s="16"/>
      <c r="E85" s="16" t="str">
        <f>IF(COUNTIF($B$4:$B$7,"R")&gt;0,"",IF(OR($H$5="Yes",$H$72="Yes"),"R",""))</f>
        <v/>
      </c>
      <c r="F85" s="14"/>
      <c r="G85" s="3" t="str">
        <f>Home!D7&amp;" ACH Remittance Contact Phone:"</f>
        <v xml:space="preserve"> ACH Remittance Contact Phone:</v>
      </c>
      <c r="H85" s="25"/>
    </row>
    <row r="86" spans="2:8" x14ac:dyDescent="0.3">
      <c r="B86" s="5" t="str">
        <f>IF(OR(Home!$D$7="",Home!$D$8="No"),"",IF(ISBLANK(HLOOKUP(Home!$D$7,$D$2:$F$102,ROW(A85),FALSE)),"",IF(H86="",HLOOKUP(Home!$D$7,$D$2:$F$102,ROW(A85),FALSE),IF(C86=FALSE,"C"))))</f>
        <v/>
      </c>
      <c r="C86" s="5" t="b">
        <f>IF(H86="",TRUE,ISNUMBER(FIND("@",H86,1)+FIND(".",H86,1)))</f>
        <v>1</v>
      </c>
      <c r="D86" s="16"/>
      <c r="E86" s="16" t="str">
        <f>IF(COUNTIF($B$4:$B$7,"R")&gt;0,"",IF(OR($H$5="Yes",$H$72="Yes"),"R",""))</f>
        <v/>
      </c>
      <c r="F86" s="14"/>
      <c r="G86" s="3" t="str">
        <f>Home!D7&amp;" ACH Remittance Email:"</f>
        <v xml:space="preserve"> ACH Remittance Email:</v>
      </c>
      <c r="H86" s="26"/>
    </row>
    <row r="87" spans="2:8" x14ac:dyDescent="0.3">
      <c r="B87" s="5" t="str">
        <f>IF(OR(Home!$D$7="",Home!$D$8="No"),"",IF(ISBLANK(HLOOKUP(Home!$D$7,$D$2:$F$102,ROW(A86),FALSE)),"",IF(H87="",HLOOKUP(Home!$D$7,$D$2:$F$102,ROW(A86),FALSE),IF(C87=FALSE,"C"))))</f>
        <v/>
      </c>
      <c r="C87" s="1" t="b">
        <v>1</v>
      </c>
      <c r="D87" s="16"/>
      <c r="E87" s="16" t="str">
        <f>IF(COUNTIF($B$4:$B$7,"R")&gt;0,"",IF(OR($H$5="Yes",$H$72="Yes"),"Y",""))</f>
        <v/>
      </c>
      <c r="F87" s="14"/>
      <c r="G87" s="57" t="str">
        <f>Home!D7&amp;" Remittance Address"</f>
        <v xml:space="preserve"> Remittance Address</v>
      </c>
      <c r="H87" s="58"/>
    </row>
    <row r="88" spans="2:8" x14ac:dyDescent="0.3">
      <c r="B88" s="5" t="str">
        <f>IF(OR(Home!$D$7="",Home!$D$8="No"),"",IF(ISBLANK(HLOOKUP(Home!$D$7,$D$2:$F$102,ROW(A87),FALSE)),"",IF(H88="",HLOOKUP(Home!$D$7,$D$2:$F$102,ROW(A87),FALSE),IF(C88=FALSE,"C"))))</f>
        <v/>
      </c>
      <c r="C88" s="5" t="b">
        <v>1</v>
      </c>
      <c r="D88" s="16"/>
      <c r="E88" s="16" t="str">
        <f>IF(COUNTIF($B$4:$B$7,"R")&gt;0,"",IF(OR($H$5="Yes",$H$72="Yes"),"R",""))</f>
        <v/>
      </c>
      <c r="F88" s="14"/>
      <c r="G88" s="3" t="str">
        <f>Home!D7&amp;" Remittance Address Line 1:"</f>
        <v xml:space="preserve"> Remittance Address Line 1:</v>
      </c>
      <c r="H88" s="25"/>
    </row>
    <row r="89" spans="2:8" x14ac:dyDescent="0.3">
      <c r="B89" s="5" t="str">
        <f>IF(OR(Home!$D$7="",Home!$D$8="No"),"",IF(ISBLANK(HLOOKUP(Home!$D$7,$D$2:$F$102,ROW(A88),FALSE)),"",IF(H89="",HLOOKUP(Home!$D$7,$D$2:$F$102,ROW(A88),FALSE),IF(C89=FALSE,"C"))))</f>
        <v/>
      </c>
      <c r="C89" s="5" t="b">
        <v>1</v>
      </c>
      <c r="D89" s="16"/>
      <c r="E89" s="16" t="str">
        <f>IF(COUNTIF($B$4:$B$7,"R")&gt;0,"",IF(OR($H$5="Yes",$H$72="Yes"),"Y",""))</f>
        <v/>
      </c>
      <c r="F89" s="14"/>
      <c r="G89" s="3" t="str">
        <f>Home!D7&amp;" Remittance Address Line 2:"</f>
        <v xml:space="preserve"> Remittance Address Line 2:</v>
      </c>
      <c r="H89" s="25"/>
    </row>
    <row r="90" spans="2:8" x14ac:dyDescent="0.3">
      <c r="B90" s="5" t="str">
        <f>IF(OR(Home!$D$7="",Home!$D$8="No"),"",IF(ISBLANK(HLOOKUP(Home!$D$7,$D$2:$F$102,ROW(A89),FALSE)),"",IF(H90="",HLOOKUP(Home!$D$7,$D$2:$F$102,ROW(A89),FALSE),IF(C90=FALSE,"C"))))</f>
        <v/>
      </c>
      <c r="C90" s="5" t="b">
        <v>1</v>
      </c>
      <c r="D90" s="16"/>
      <c r="E90" s="16" t="str">
        <f t="shared" ref="E90:E92" si="14">IF(COUNTIF($B$4:$B$7,"R")&gt;0,"",IF(OR($H$5="Yes",$H$72="Yes"),"R",""))</f>
        <v/>
      </c>
      <c r="F90" s="14"/>
      <c r="G90" s="3" t="s">
        <v>57</v>
      </c>
      <c r="H90" s="25"/>
    </row>
    <row r="91" spans="2:8" x14ac:dyDescent="0.3">
      <c r="B91" s="5" t="str">
        <f>IF(OR(Home!$D$7="",Home!$D$8="No"),"",IF(ISBLANK(HLOOKUP(Home!$D$7,$D$2:$F$102,ROW(A90),FALSE)),"",IF(H91="",HLOOKUP(Home!$D$7,$D$2:$F$102,ROW(A90),FALSE),IF(C91=FALSE,"C"))))</f>
        <v/>
      </c>
      <c r="C91" s="5" t="b">
        <v>1</v>
      </c>
      <c r="D91" s="16"/>
      <c r="E91" s="16" t="str">
        <f t="shared" si="14"/>
        <v/>
      </c>
      <c r="F91" s="14"/>
      <c r="G91" s="3" t="s">
        <v>58</v>
      </c>
      <c r="H91" s="25"/>
    </row>
    <row r="92" spans="2:8" x14ac:dyDescent="0.3">
      <c r="B92" s="5" t="str">
        <f>IF(OR(Home!$D$7="",Home!$D$8="No"),"",IF(ISBLANK(HLOOKUP(Home!$D$7,$D$2:$F$102,ROW(A91),FALSE)),"",IF(H92="",HLOOKUP(Home!$D$7,$D$2:$F$102,ROW(A91),FALSE),IF(C92=FALSE,"C"))))</f>
        <v/>
      </c>
      <c r="C92" s="5" t="b">
        <v>1</v>
      </c>
      <c r="D92" s="16"/>
      <c r="E92" s="16" t="str">
        <f t="shared" si="14"/>
        <v/>
      </c>
      <c r="F92" s="14"/>
      <c r="G92" s="3" t="s">
        <v>75</v>
      </c>
      <c r="H92" s="25"/>
    </row>
    <row r="93" spans="2:8" x14ac:dyDescent="0.3">
      <c r="B93" s="5" t="str">
        <f>IF(OR(Home!$D$7="",Home!$D$8="No"),"",IF(ISBLANK(HLOOKUP(Home!$D$7,$D$2:$F$102,ROW(A92),FALSE)),"",IF(H93="",HLOOKUP(Home!$D$7,$D$2:$F$102,ROW(A92),FALSE),IF(C93=FALSE,"C"))))</f>
        <v/>
      </c>
      <c r="C93" s="1" t="b">
        <v>1</v>
      </c>
      <c r="D93" s="16"/>
      <c r="E93" s="16" t="str">
        <f>IF(COUNTIF($B$4:$B$7,"R")&gt;0,"",IF(OR($H$5="Yes",$H$72="Yes"),"Y",""))</f>
        <v/>
      </c>
      <c r="F93" s="14"/>
      <c r="G93" s="57" t="s">
        <v>32</v>
      </c>
      <c r="H93" s="58"/>
    </row>
    <row r="94" spans="2:8" x14ac:dyDescent="0.3">
      <c r="B94" s="5" t="str">
        <f>IF(OR(Home!$D$7="",Home!$D$8="No"),"",IF(ISBLANK(HLOOKUP(Home!$D$7,$D$2:$F$102,ROW(A93),FALSE)),"",IF(H94="",HLOOKUP(Home!$D$7,$D$2:$F$102,ROW(A93),FALSE),IF(C94=FALSE,"C"))))</f>
        <v/>
      </c>
      <c r="C94" s="1" t="b">
        <v>1</v>
      </c>
      <c r="D94" s="16"/>
      <c r="E94" s="16" t="str">
        <f t="shared" ref="E94:E96" si="15">IF(COUNTIF($B$4:$B$7,"R")&gt;0,"",IF(OR($H$5="Yes",$H$72="Yes"),"R",""))</f>
        <v/>
      </c>
      <c r="F94" s="14"/>
      <c r="G94" s="3" t="s">
        <v>76</v>
      </c>
      <c r="H94" s="25"/>
    </row>
    <row r="95" spans="2:8" x14ac:dyDescent="0.3">
      <c r="B95" s="5" t="str">
        <f>IF(OR(Home!$D$7="",Home!$D$8="No"),"",IF(ISBLANK(HLOOKUP(Home!$D$7,$D$2:$F$102,ROW(A94),FALSE)),"",IF(H95="",HLOOKUP(Home!$D$7,$D$2:$F$102,ROW(A94),FALSE),IF(C95=FALSE,"C"))))</f>
        <v/>
      </c>
      <c r="C95" s="5" t="b">
        <f>ISNUMBER(H95+0)</f>
        <v>1</v>
      </c>
      <c r="D95" s="16"/>
      <c r="E95" s="16" t="str">
        <f t="shared" si="15"/>
        <v/>
      </c>
      <c r="F95" s="14"/>
      <c r="G95" s="3" t="s">
        <v>77</v>
      </c>
      <c r="H95" s="25"/>
    </row>
    <row r="96" spans="2:8" x14ac:dyDescent="0.3">
      <c r="B96" s="5" t="str">
        <f>IF(OR(Home!$D$7="",Home!$D$8="No"),"",IF(ISBLANK(HLOOKUP(Home!$D$7,$D$2:$F$102,ROW(A95),FALSE)),"",IF(H96="",HLOOKUP(Home!$D$7,$D$2:$F$102,ROW(A95),FALSE),IF(C96=FALSE,"C"))))</f>
        <v/>
      </c>
      <c r="C96" s="5" t="b">
        <f>ISNUMBER(H96+0)</f>
        <v>1</v>
      </c>
      <c r="D96" s="16"/>
      <c r="E96" s="16" t="str">
        <f t="shared" si="15"/>
        <v/>
      </c>
      <c r="F96" s="14"/>
      <c r="G96" s="3" t="s">
        <v>78</v>
      </c>
      <c r="H96" s="25"/>
    </row>
    <row r="97" spans="2:8" x14ac:dyDescent="0.3">
      <c r="B97" s="5" t="str">
        <f>IF(OR(Home!$D$7="",Home!$D$8="No"),"",IF(ISBLANK(HLOOKUP(Home!$D$7,$D$2:$F$102,ROW(A96),FALSE)),"",IF(H97="",HLOOKUP(Home!$D$7,$D$2:$F$102,ROW(A96),FALSE),IF(C97=FALSE,"C"))))</f>
        <v/>
      </c>
      <c r="C97" s="1" t="b">
        <v>1</v>
      </c>
      <c r="D97" s="16"/>
      <c r="E97" s="16" t="str">
        <f>IF(COUNTIF($B$4:$B$7,"R")&gt;0,"",IF(OR($H$5="Yes",$H$72="Yes"),"Y",""))</f>
        <v/>
      </c>
      <c r="F97" s="14"/>
      <c r="G97" s="57" t="str">
        <f>Home!D7&amp;" Authorization"</f>
        <v xml:space="preserve"> Authorization</v>
      </c>
      <c r="H97" s="58"/>
    </row>
    <row r="98" spans="2:8" x14ac:dyDescent="0.3">
      <c r="B98" s="5" t="str">
        <f>IF(OR(Home!$D$7="",Home!$D$8="No"),"",IF(ISBLANK(HLOOKUP(Home!$D$7,$D$2:$F$102,ROW(A97),FALSE)),"",IF(H98="",HLOOKUP(Home!$D$7,$D$2:$F$102,ROW(A97),FALSE),IF(C98=FALSE,"C"))))</f>
        <v/>
      </c>
      <c r="C98" s="1" t="b">
        <v>1</v>
      </c>
      <c r="D98" s="16"/>
      <c r="E98" s="16" t="str">
        <f>IF(COUNTIF($B$4:$B$7,"R")&gt;0,"",IF(OR($H$5="Yes",$H$72="Yes"),"Y",""))</f>
        <v/>
      </c>
      <c r="F98" s="14"/>
      <c r="G98" s="54" t="s">
        <v>43</v>
      </c>
      <c r="H98" s="55"/>
    </row>
    <row r="99" spans="2:8" ht="152.25" customHeight="1" x14ac:dyDescent="0.3">
      <c r="B99" s="5" t="str">
        <f>IF(OR(Home!$D$7="",Home!$D$8="No"),"",IF(ISBLANK(HLOOKUP(Home!$D$7,$D$2:$F$102,ROW(A98),FALSE)),"",IF(H99="",HLOOKUP(Home!$D$7,$D$2:$F$102,ROW(A98),FALSE),IF(C99=FALSE,"C"))))</f>
        <v/>
      </c>
      <c r="C99" s="1" t="b">
        <v>1</v>
      </c>
      <c r="D99" s="16"/>
      <c r="E99" s="16" t="str">
        <f>IF(COUNTIF($B$4:$B$7,"R")&gt;0,"",IF(OR($H$5="Yes",$H$72="Yes"),"R",""))</f>
        <v/>
      </c>
      <c r="F99" s="14"/>
      <c r="G99"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99" s="32"/>
    </row>
    <row r="100" spans="2:8" x14ac:dyDescent="0.3">
      <c r="B100" s="5" t="str">
        <f>IF(OR(Home!$D$7="",Home!$D$8="No"),"",IF(ISBLANK(HLOOKUP(Home!$D$7,$D$2:$F$102,ROW(A99),FALSE)),"",IF(H100="",HLOOKUP(Home!$D$7,$D$2:$F$102,ROW(A99),FALSE),IF(C100=FALSE,"C"))))</f>
        <v/>
      </c>
      <c r="C100" s="1" t="b">
        <v>1</v>
      </c>
      <c r="D100" s="16"/>
      <c r="E100" s="16" t="str">
        <f>IF(COUNTIF($B$4:$B$7,"R")&gt;0,"",IF(OR($H$5="Yes",$H$72="Yes"),"R",""))</f>
        <v/>
      </c>
      <c r="F100" s="14"/>
      <c r="G100" s="3" t="s">
        <v>25</v>
      </c>
      <c r="H100" s="27"/>
    </row>
    <row r="101" spans="2:8" hidden="1" x14ac:dyDescent="0.3">
      <c r="B101" s="5" t="str">
        <f>IF(OR(Home!$D$7="",Home!$D$8="No"),"",IF(ISBLANK(HLOOKUP(Home!$D$7,$D$2:$F$102,ROW(A100),FALSE)),"",IF(H101="",HLOOKUP(Home!$D$7,$D$2:$F$102,ROW(A100),FALSE),IF(C101=FALSE,"C"))))</f>
        <v/>
      </c>
      <c r="C101" s="1" t="b">
        <v>1</v>
      </c>
      <c r="D101" s="16"/>
      <c r="E101" s="14"/>
      <c r="F101" s="14"/>
      <c r="G101" s="3" t="s">
        <v>44</v>
      </c>
      <c r="H101" s="25"/>
    </row>
    <row r="102" spans="2:8" hidden="1" x14ac:dyDescent="0.3">
      <c r="B102" s="5" t="str">
        <f>IF(OR(Home!$D$7="",Home!$D$8="No"),"",IF(ISBLANK(HLOOKUP(Home!$D$7,$D$2:$F$102,ROW(A101),FALSE)),"",IF(H102="",HLOOKUP(Home!$D$7,$D$2:$F$102,ROW(A101),FALSE),IF(C102=FALSE,"C"))))</f>
        <v/>
      </c>
      <c r="C102" s="5" t="b">
        <f>AND(ISNUMBER(H102+0),LEFT(H102,1)="1")</f>
        <v>0</v>
      </c>
      <c r="D102" s="16"/>
      <c r="E102" s="14"/>
      <c r="F102" s="14"/>
      <c r="G102" s="3" t="s">
        <v>79</v>
      </c>
      <c r="H102" s="25"/>
    </row>
  </sheetData>
  <sheetProtection algorithmName="SHA-512" hashValue="Teu0g8V+cjxEdvoVhoy+rcVHNo8FSxbs3Obil2aZPGFUVO8Fidsh9pIW5hsb9vHkWGdzEQQoP9xEkfMOT17t3Q==" saltValue="CSh4HaRd56bnzECG684l5Q==" spinCount="100000" sheet="1" formatRows="0" selectLockedCells="1"/>
  <autoFilter ref="B2:F102">
    <filterColumn colId="3">
      <customFilters>
        <customFilter operator="notEqual" val=" "/>
      </customFilters>
    </filterColumn>
  </autoFilter>
  <dataConsolidate/>
  <mergeCells count="16">
    <mergeCell ref="G37:H37"/>
    <mergeCell ref="G2:H2"/>
    <mergeCell ref="G3:H3"/>
    <mergeCell ref="G8:H8"/>
    <mergeCell ref="G9:H9"/>
    <mergeCell ref="G29:H29"/>
    <mergeCell ref="G87:H87"/>
    <mergeCell ref="G93:H93"/>
    <mergeCell ref="G97:H97"/>
    <mergeCell ref="G98:H98"/>
    <mergeCell ref="G48:H48"/>
    <mergeCell ref="G57:H57"/>
    <mergeCell ref="G58:H58"/>
    <mergeCell ref="G77:H77"/>
    <mergeCell ref="G78:H78"/>
    <mergeCell ref="G79:H79"/>
  </mergeCells>
  <conditionalFormatting sqref="G2:H70 G72:H102">
    <cfRule type="expression" dxfId="33" priority="13">
      <formula>$B2=""</formula>
    </cfRule>
  </conditionalFormatting>
  <conditionalFormatting sqref="J2">
    <cfRule type="expression" dxfId="32" priority="14">
      <formula>$B2=""</formula>
    </cfRule>
  </conditionalFormatting>
  <conditionalFormatting sqref="G2:H2">
    <cfRule type="expression" dxfId="31" priority="17">
      <formula>LEFT($G$2,9)="Completed"</formula>
    </cfRule>
  </conditionalFormatting>
  <conditionalFormatting sqref="G69:H69">
    <cfRule type="expression" dxfId="30" priority="10">
      <formula>$B69=""</formula>
    </cfRule>
  </conditionalFormatting>
  <conditionalFormatting sqref="H69">
    <cfRule type="expression" dxfId="29" priority="11">
      <formula>$B69="C"</formula>
    </cfRule>
    <cfRule type="expression" dxfId="28" priority="12">
      <formula>$B69="R"</formula>
    </cfRule>
  </conditionalFormatting>
  <conditionalFormatting sqref="G70:H70">
    <cfRule type="expression" dxfId="27" priority="7">
      <formula>$B70=""</formula>
    </cfRule>
  </conditionalFormatting>
  <conditionalFormatting sqref="H70">
    <cfRule type="expression" dxfId="26" priority="8">
      <formula>$B70="C"</formula>
    </cfRule>
    <cfRule type="expression" dxfId="25" priority="9">
      <formula>$B70="R"</formula>
    </cfRule>
  </conditionalFormatting>
  <conditionalFormatting sqref="H3:H70 H72:H102">
    <cfRule type="expression" dxfId="24" priority="15">
      <formula>$B3="C"</formula>
    </cfRule>
    <cfRule type="expression" dxfId="23" priority="16">
      <formula>$B3="R"</formula>
    </cfRule>
  </conditionalFormatting>
  <conditionalFormatting sqref="G71:H71">
    <cfRule type="expression" dxfId="22" priority="4">
      <formula>$B71=""</formula>
    </cfRule>
  </conditionalFormatting>
  <conditionalFormatting sqref="G71:H71">
    <cfRule type="expression" dxfId="21" priority="1">
      <formula>$B71=""</formula>
    </cfRule>
  </conditionalFormatting>
  <conditionalFormatting sqref="H71">
    <cfRule type="expression" dxfId="20" priority="2">
      <formula>$B71="C"</formula>
    </cfRule>
    <cfRule type="expression" dxfId="19" priority="3">
      <formula>$B71="R"</formula>
    </cfRule>
  </conditionalFormatting>
  <conditionalFormatting sqref="H71">
    <cfRule type="expression" dxfId="18" priority="5">
      <formula>$B71="C"</formula>
    </cfRule>
    <cfRule type="expression" dxfId="17" priority="6">
      <formula>$B71="R"</formula>
    </cfRule>
  </conditionalFormatting>
  <dataValidations count="15">
    <dataValidation type="list" allowBlank="1" showInputMessage="1" showErrorMessage="1" sqref="H70">
      <formula1>"I understand"</formula1>
    </dataValidation>
    <dataValidation type="whole" allowBlank="1" showInputMessage="1" showErrorMessage="1" sqref="H71">
      <formula1>0</formula1>
      <formula2>100000</formula2>
    </dataValidation>
    <dataValidation type="list" allowBlank="1" showInputMessage="1" showErrorMessage="1" sqref="H21:H28">
      <formula1>"No,Yes - Certified,Yes - Self-Identified"</formula1>
    </dataValidation>
    <dataValidation type="list" allowBlank="1" showInputMessage="1" showErrorMessage="1" sqref="H20">
      <formula1>"No,Yes - Small and Diverse,Yes - Small Only,Yes - Diverse Only"</formula1>
    </dataValidation>
    <dataValidation type="list" allowBlank="1" showInputMessage="1" showErrorMessage="1" sqref="H73">
      <formula1>"My company is already registered with SAM,My company plans to regiser with SAM,My company does not plan to regiser with SAM"</formula1>
    </dataValidation>
    <dataValidation type="list" allowBlank="1" showInputMessage="1" showErrorMessage="1" sqref="H74 H72 H41 H49 H4:H6 H59:H64">
      <formula1>"Yes,No"</formula1>
    </dataValidation>
    <dataValidation type="textLength" allowBlank="1" showInputMessage="1" showErrorMessage="1" promptTitle="Routing Number" prompt="This field requires 9 digits without any special characters." sqref="H95">
      <formula1>9</formula1>
      <formula2>9</formula2>
    </dataValidation>
    <dataValidation type="textLength" allowBlank="1" showInputMessage="1" showErrorMessage="1" promptTitle="Fax Number" prompt="Requires 11 digits with no special characters and the first digit must start with the number 1." sqref="H40">
      <formula1>11</formula1>
      <formula2>11</formula2>
    </dataValidation>
    <dataValidation type="textLength" allowBlank="1" showInputMessage="1" showErrorMessage="1" promptTitle="TIN Number" prompt="This field requires 9 digits without any special characters._x000a__x000a_Example of Acceptable Format: _x000a_272786963_x000a__x000a_Example of Unacceptable Format: _x000a_272-78-6963" sqref="H17 H83">
      <formula1>9</formula1>
      <formula2>9</formula2>
    </dataValidation>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 sqref="H12 H82">
      <formula1>9</formula1>
      <formula2>9</formula2>
    </dataValidation>
    <dataValidation type="textLength" allowBlank="1" showInputMessage="1" showErrorMessage="1" promptTitle="Phone Number" prompt="Requires 11 digits with no special characters and the first digit must start with the number 1." sqref="H14 H35 H47 H55 H85 H102">
      <formula1>11</formula1>
      <formula2>11</formula2>
    </dataValidation>
    <dataValidation type="list" allowBlank="1" showInputMessage="1" showErrorMessage="1" sqref="H18">
      <formula1>"Sole Proprietor or Single Member LLC, C Corporation, S Corporation, Partnership, Trust/Estate, Limited Liability Company (LLC),Government,Non-Profit"</formula1>
    </dataValidation>
    <dataValidation type="list" allowBlank="1" showInputMessage="1" showErrorMessage="1" sqref="H19">
      <formula1>"C Corporation, S Corporation, Partnership"</formula1>
    </dataValidation>
    <dataValidation type="list" allowBlank="1" showInputMessage="1" showErrorMessage="1" sqref="H16">
      <formula1>"Employer Identification Number (EIN),Social Security Number (SSN)"</formula1>
    </dataValidation>
    <dataValidation type="list" allowBlank="1" showInputMessage="1" showErrorMessage="1" sqref="H38">
      <formula1>"Email (Plain Text Format),Email (HTML Format),Fax"</formula1>
    </dataValidation>
  </dataValidations>
  <pageMargins left="0.7" right="0.7" top="0.75" bottom="0.75" header="0.3" footer="0.3"/>
  <pageSetup scale="4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Down'!$B$2:$B$53</xm:f>
          </x14:formula1>
          <xm:sqref>H45 H33 H53 H91</xm:sqref>
        </x14:dataValidation>
        <x14:dataValidation type="list" allowBlank="1" showInputMessage="1" showErrorMessage="1">
          <x14:formula1>
            <xm:f>'Drop Down'!$D$2:$D$7</xm:f>
          </x14:formula1>
          <xm:sqref>H67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B1:J102"/>
  <sheetViews>
    <sheetView showGridLines="0" zoomScaleNormal="100" workbookViewId="0">
      <pane ySplit="2" topLeftCell="A3" activePane="bottomLeft" state="frozen"/>
      <selection pane="bottomLeft" activeCell="H10" sqref="H10"/>
    </sheetView>
  </sheetViews>
  <sheetFormatPr defaultColWidth="9.109375" defaultRowHeight="14.4" x14ac:dyDescent="0.3"/>
  <cols>
    <col min="1" max="1" width="1.109375" style="8" customWidth="1"/>
    <col min="2" max="2" width="12.5546875" style="5" hidden="1" customWidth="1"/>
    <col min="3" max="3" width="9.88671875" style="5" hidden="1" customWidth="1"/>
    <col min="4" max="4" width="9.6640625" style="5" hidden="1" customWidth="1"/>
    <col min="5" max="5" width="9.88671875" style="5" hidden="1" customWidth="1"/>
    <col min="6" max="6" width="10.5546875" style="5" hidden="1" customWidth="1"/>
    <col min="7" max="7" width="56.33203125" style="6" customWidth="1"/>
    <col min="8" max="8" width="78.109375" style="17" customWidth="1"/>
    <col min="9" max="9" width="1.33203125" style="8" customWidth="1"/>
    <col min="10" max="10" width="12" style="8" customWidth="1"/>
    <col min="11" max="16384" width="9.109375" style="8"/>
  </cols>
  <sheetData>
    <row r="1" spans="2:10" ht="15" thickBot="1" x14ac:dyDescent="0.35">
      <c r="G1" s="34" t="str">
        <f>Home!C1&amp;" ("&amp;IF(Home!D8="Yes","Domestic ","")&amp;Home!$D$7&amp;")"</f>
        <v>Supplier Information Form (SIF) Version 2.0 Effective 5-4-2021 ()</v>
      </c>
    </row>
    <row r="2" spans="2:10" ht="63" customHeight="1" thickTop="1" thickBot="1" x14ac:dyDescent="0.35">
      <c r="B2" s="5" t="str">
        <f>IF(AND(Home!$D$7="Study Participant",Home!$D$8&lt;&gt;"No"),"Conditional Formatting","")</f>
        <v/>
      </c>
      <c r="C2" s="5" t="s">
        <v>6</v>
      </c>
      <c r="D2" s="5" t="s">
        <v>45</v>
      </c>
      <c r="E2" s="5" t="s">
        <v>46</v>
      </c>
      <c r="F2" s="5" t="s">
        <v>47</v>
      </c>
      <c r="G2" s="49" t="str">
        <f>IF(AND(COUNTIF($B$3:$B$102,"R")&gt;0,COUNTIF($B$3:$B$102,"C")&gt;0),"There are "&amp;COUNTIF($B$3:$B$102,"R")&amp;" required fields remaining highlighted in yellow with mini-dots."&amp;CHAR(10)&amp;"There are "&amp;COUNTIF($B$3:$B$102,"C")&amp;" fields that need correction highlighted in red.",IF(AND(COUNTIF($B$3:$B$102,"R")&gt;0,COUNTIF($B$3:$B$102,"C")=0),"There are "&amp;COUNTIF($B$3:$B$102,"R")&amp;" required fields remaining highlighted in yellow with mini-dots.",IF(AND(COUNTIF($B$3:$B$102,"R")=0,COUNTIF($B$3:$B$102,"C")&gt;0),"There are "&amp;COUNTIF($B$3:$B$102,"C")&amp;" fields that need correction highlighted in red.","Completed! Please submit this excel file to the Emory personnel that provided you this form.")))</f>
        <v>Completed! Please submit this excel file to the Emory personnel that provided you this form.</v>
      </c>
      <c r="H2" s="50"/>
      <c r="J2" s="11" t="str">
        <f>HYPERLINK(CONCATENATE("#Home!D8"),"Click Here to Go Back")</f>
        <v>Click Here to Go Back</v>
      </c>
    </row>
    <row r="3" spans="2:10" ht="23.25" hidden="1" customHeight="1" thickTop="1" x14ac:dyDescent="0.3">
      <c r="B3" s="5" t="str">
        <f>IF(OR(Home!$D$7="",Home!$D$8="No"),"",IF(ISBLANK(HLOOKUP(Home!$D$7,$D$2:$F$102,ROW(A2),FALSE)),"",IF(H3="",HLOOKUP(Home!$D$7,$D$2:$F$102,ROW(A2),FALSE),IF(C3=FALSE,"C"))))</f>
        <v/>
      </c>
      <c r="C3" s="5" t="b">
        <v>1</v>
      </c>
      <c r="D3" s="15"/>
      <c r="E3" s="15"/>
      <c r="F3" s="15"/>
      <c r="G3" s="48" t="s">
        <v>48</v>
      </c>
      <c r="H3" s="53"/>
    </row>
    <row r="4" spans="2:10" ht="29.4" hidden="1" thickTop="1" x14ac:dyDescent="0.3">
      <c r="B4" s="5" t="str">
        <f>IF(OR(Home!$D$7="",Home!$D$8="No"),"",IF(ISBLANK(HLOOKUP(Home!$D$7,$D$2:$F$102,ROW(A3),FALSE)),"",IF(H4="",HLOOKUP(Home!$D$7,$D$2:$F$102,ROW(A3),FALSE),IF(C4=FALSE,"C"))))</f>
        <v/>
      </c>
      <c r="C4" s="5" t="b">
        <v>1</v>
      </c>
      <c r="D4" s="15"/>
      <c r="E4" s="15"/>
      <c r="F4" s="15"/>
      <c r="G4" s="9" t="str">
        <f>IF(Home!$D$7="Company","Is your company",IF(Home!$D$7="Individual","Are you",""))&amp;" filling out this form to update current information on file with Emory? If not sure, select 'No' from drop down box."</f>
        <v xml:space="preserve"> filling out this form to update current information on file with Emory? If not sure, select 'No' from drop down box.</v>
      </c>
      <c r="H4" s="25" t="s">
        <v>80</v>
      </c>
    </row>
    <row r="5" spans="2:10" ht="31.5" hidden="1" customHeight="1" x14ac:dyDescent="0.3">
      <c r="B5" s="5" t="str">
        <f>IF(OR(Home!$D$7="",Home!$D$8="No"),"",IF(ISBLANK(HLOOKUP(Home!$D$7,$D$2:$F$102,ROW(A4),FALSE)),"",IF(H5="",HLOOKUP(Home!$D$7,$D$2:$F$102,ROW(A4),FALSE),IF(C5=FALSE,"C"))))</f>
        <v/>
      </c>
      <c r="C5" s="5" t="b">
        <v>1</v>
      </c>
      <c r="D5" s="15"/>
      <c r="E5" s="15"/>
      <c r="F5" s="15"/>
      <c r="G5" s="9" t="str">
        <f>IF(H4="Yes",IF(Home!$D$7="Company","Does your company",IF(Home!$D$7="Individual","Do you",""))&amp;" only need to update the ACH/Banking information on file with Emory?","")</f>
        <v xml:space="preserve"> only need to update the ACH/Banking information on file with Emory?</v>
      </c>
      <c r="H5" s="25" t="s">
        <v>7</v>
      </c>
    </row>
    <row r="6" spans="2:10" ht="29.4" hidden="1" thickTop="1" x14ac:dyDescent="0.3">
      <c r="B6" s="5" t="str">
        <f>IF(OR(Home!$D$7="",Home!$D$8="No"),"",IF(ISBLANK(HLOOKUP(Home!$D$7,$D$2:$F$102,ROW(A5),FALSE)),"",IF(H6="",HLOOKUP(Home!$D$7,$D$2:$F$102,ROW(A5),FALSE),IF(C6=FALSE,"C"))))</f>
        <v/>
      </c>
      <c r="C6" s="5" t="b">
        <v>1</v>
      </c>
      <c r="D6" s="15"/>
      <c r="E6" s="15"/>
      <c r="F6" s="15"/>
      <c r="G6" s="9" t="s">
        <v>49</v>
      </c>
      <c r="H6" s="25" t="s">
        <v>7</v>
      </c>
    </row>
    <row r="7" spans="2:10" ht="47.25" hidden="1" customHeight="1" x14ac:dyDescent="0.3">
      <c r="B7" s="5" t="str">
        <f>IF(OR(Home!$D$7="",Home!$D$8="No"),"",IF(ISBLANK(HLOOKUP(Home!$D$7,$D$2:$F$102,ROW(A6),FALSE)),"",IF(H7="",HLOOKUP(Home!$D$7,$D$2:$F$102,ROW(A6),FALSE),IF(C7=FALSE,"C"))))</f>
        <v/>
      </c>
      <c r="C7" s="5" t="b">
        <v>1</v>
      </c>
      <c r="D7" s="15"/>
      <c r="E7" s="15"/>
      <c r="F7" s="15"/>
      <c r="G7" s="9" t="str">
        <f>IF(H6="Yes","Please provide a brief description of the merger, acquisition, or spinoff:","")</f>
        <v/>
      </c>
      <c r="H7" s="25"/>
    </row>
    <row r="8" spans="2:10" ht="15" customHeight="1" thickTop="1" x14ac:dyDescent="0.3">
      <c r="B8" s="5" t="str">
        <f>IF(OR(Home!$D$7="",Home!$D$8="No"),"",IF(ISBLANK(HLOOKUP(Home!$D$7,$D$2:$F$102,ROW(A7),FALSE)),"",IF(H8="",HLOOKUP(Home!$D$7,$D$2:$F$102,ROW(A7),FALSE),IF(C8=FALSE,"C"))))</f>
        <v/>
      </c>
      <c r="C8" s="5" t="b">
        <v>1</v>
      </c>
      <c r="D8" s="15"/>
      <c r="E8" s="15"/>
      <c r="F8" s="15" t="s">
        <v>8</v>
      </c>
      <c r="G8" s="48"/>
      <c r="H8" s="53"/>
    </row>
    <row r="9" spans="2:10" ht="30.75" customHeight="1" x14ac:dyDescent="0.3">
      <c r="B9" s="5" t="str">
        <f>IF(OR(Home!$D$7="",Home!$D$8="No"),"",IF(ISBLANK(HLOOKUP(Home!$D$7,$D$2:$F$102,ROW(A8),FALSE)),"",IF(H9="",HLOOKUP(Home!$D$7,$D$2:$F$102,ROW(A8),FALSE),IF(C9=FALSE,"C"))))</f>
        <v/>
      </c>
      <c r="C9" s="5" t="b">
        <v>1</v>
      </c>
      <c r="D9" s="15"/>
      <c r="E9" s="15"/>
      <c r="F9" s="15" t="s">
        <v>8</v>
      </c>
      <c r="G9" s="51" t="str">
        <f>Home!D7&amp;" Name and Information"</f>
        <v xml:space="preserve"> Name and Information</v>
      </c>
      <c r="H9" s="52"/>
    </row>
    <row r="10" spans="2:10" x14ac:dyDescent="0.3">
      <c r="B10" s="5" t="str">
        <f>IF(OR(Home!$D$7="",Home!$D$8="No"),"",IF(ISBLANK(HLOOKUP(Home!$D$7,$D$2:$F$102,ROW(A9),FALSE)),"",IF(H10="",HLOOKUP(Home!$D$7,$D$2:$F$102,ROW(A9),FALSE),IF(C10=FALSE,"C"))))</f>
        <v/>
      </c>
      <c r="C10" s="5" t="b">
        <v>1</v>
      </c>
      <c r="D10" s="15"/>
      <c r="E10" s="15"/>
      <c r="F10" s="15" t="s">
        <v>9</v>
      </c>
      <c r="G10" s="9" t="s">
        <v>50</v>
      </c>
      <c r="H10" s="25"/>
    </row>
    <row r="11" spans="2:10" hidden="1" x14ac:dyDescent="0.3">
      <c r="B11" s="5" t="str">
        <f>IF(OR(Home!$D$7="",Home!$D$8="No"),"",IF(ISBLANK(HLOOKUP(Home!$D$7,$D$2:$F$102,ROW(A10),FALSE)),"",IF(H11="",HLOOKUP(Home!$D$7,$D$2:$F$102,ROW(A10),FALSE),IF(C11=FALSE,"C"))))</f>
        <v/>
      </c>
      <c r="C11" s="5" t="b">
        <v>1</v>
      </c>
      <c r="D11" s="15"/>
      <c r="E11" s="15"/>
      <c r="F11" s="15"/>
      <c r="G11" s="9" t="s">
        <v>51</v>
      </c>
      <c r="H11" s="25"/>
    </row>
    <row r="12" spans="2:10" hidden="1" x14ac:dyDescent="0.3">
      <c r="B12" s="5" t="str">
        <f>IF(OR(Home!$D$7="",Home!$D$8="No"),"",IF(ISBLANK(HLOOKUP(Home!$D$7,$D$2:$F$102,ROW(A11),FALSE)),"",IF(H12="",HLOOKUP(Home!$D$7,$D$2:$F$102,ROW(A11),FALSE),IF(C12=FALSE,"C"))))</f>
        <v/>
      </c>
      <c r="C12" s="5" t="b">
        <f>ISNUMBER(H12+0)</f>
        <v>1</v>
      </c>
      <c r="D12" s="15"/>
      <c r="E12" s="13"/>
      <c r="F12" s="15"/>
      <c r="G12" s="9" t="s">
        <v>52</v>
      </c>
      <c r="H12" s="25"/>
    </row>
    <row r="13" spans="2:10" x14ac:dyDescent="0.3">
      <c r="B13" s="5" t="str">
        <f>IF(OR(Home!$D$7="",Home!$D$8="No"),"",IF(ISBLANK(HLOOKUP(Home!$D$7,$D$2:$F$102,ROW(A12),FALSE)),"",IF(H13="",HLOOKUP(Home!$D$7,$D$2:$F$102,ROW(A12),FALSE),IF(C13=FALSE,"C"))))</f>
        <v/>
      </c>
      <c r="C13" s="5" t="b">
        <v>1</v>
      </c>
      <c r="D13" s="15"/>
      <c r="E13" s="15"/>
      <c r="F13" s="15" t="s">
        <v>9</v>
      </c>
      <c r="G13" s="9" t="s">
        <v>12</v>
      </c>
      <c r="H13" s="25"/>
    </row>
    <row r="14" spans="2:10" x14ac:dyDescent="0.3">
      <c r="B14" s="5" t="str">
        <f>IF(OR(Home!$D$7="",Home!$D$8="No"),"",IF(ISBLANK(HLOOKUP(Home!$D$7,$D$2:$F$102,ROW(A13),FALSE)),"",IF(H14="",HLOOKUP(Home!$D$7,$D$2:$F$102,ROW(A13),FALSE),IF(C14=FALSE,"C"))))</f>
        <v/>
      </c>
      <c r="C14" s="5" t="b">
        <f>AND(ISNUMBER(H14+0),LEFT(H14,1)="1")</f>
        <v>0</v>
      </c>
      <c r="D14" s="15"/>
      <c r="E14" s="15"/>
      <c r="F14" s="15" t="s">
        <v>9</v>
      </c>
      <c r="G14" s="9" t="s">
        <v>13</v>
      </c>
      <c r="H14" s="25"/>
    </row>
    <row r="15" spans="2:10" x14ac:dyDescent="0.3">
      <c r="B15" s="5" t="str">
        <f>IF(OR(Home!$D$7="",Home!$D$8="No"),"",IF(ISBLANK(HLOOKUP(Home!$D$7,$D$2:$F$102,ROW(A14),FALSE)),"",IF(H15="",HLOOKUP(Home!$D$7,$D$2:$F$102,ROW(A14),FALSE),IF(C15=FALSE,"C"))))</f>
        <v/>
      </c>
      <c r="C15" s="5" t="b">
        <f>IF(H15="",TRUE,ISNUMBER(FIND("@",H15,1)+FIND(".",H15,1)))</f>
        <v>1</v>
      </c>
      <c r="D15" s="15"/>
      <c r="E15" s="15"/>
      <c r="F15" s="15" t="s">
        <v>9</v>
      </c>
      <c r="G15" s="9" t="s">
        <v>14</v>
      </c>
      <c r="H15" s="26"/>
    </row>
    <row r="16" spans="2:10" hidden="1" x14ac:dyDescent="0.3">
      <c r="B16" s="5" t="str">
        <f>IF(OR(Home!$D$7="",Home!$D$8="No"),"",IF(ISBLANK(HLOOKUP(Home!$D$7,$D$2:$F$102,ROW(A15),FALSE)),"",IF(H16="",HLOOKUP(Home!$D$7,$D$2:$F$102,ROW(A15),FALSE),IF(C16=FALSE,"C"))))</f>
        <v/>
      </c>
      <c r="C16" s="5" t="b">
        <v>1</v>
      </c>
      <c r="D16" s="15"/>
      <c r="E16" s="15"/>
      <c r="F16" s="15"/>
      <c r="G16" s="9" t="s">
        <v>53</v>
      </c>
      <c r="H16" s="25"/>
    </row>
    <row r="17" spans="2:8" x14ac:dyDescent="0.3">
      <c r="B17" s="5" t="str">
        <f>IF(OR(Home!$D$7="",Home!$D$8="No"),"",IF(ISBLANK(HLOOKUP(Home!$D$7,$D$2:$F$102,ROW(A16),FALSE)),"",IF(H17="",HLOOKUP(Home!$D$7,$D$2:$F$102,ROW(A16),FALSE),IF(C17=FALSE,"C"))))</f>
        <v/>
      </c>
      <c r="C17" s="5" t="b">
        <f>ISNUMBER(H17+0)</f>
        <v>1</v>
      </c>
      <c r="D17" s="15"/>
      <c r="E17" s="15"/>
      <c r="F17" s="15" t="s">
        <v>9</v>
      </c>
      <c r="G17" s="9" t="str">
        <f>IF(OR(Home!$D$7="Study Participant",Home!$D$7="Individual"),"Social Security Number (SSN) (9 Digits):",IF(H16="","",$H$16&amp;" (9 Digits) :"))</f>
        <v/>
      </c>
      <c r="H17" s="25"/>
    </row>
    <row r="18" spans="2:8" hidden="1" x14ac:dyDescent="0.3">
      <c r="B18" s="5" t="str">
        <f>IF(OR(Home!$D$7="",Home!$D$8="No"),"",IF(ISBLANK(HLOOKUP(Home!$D$7,$D$2:$F$102,ROW(A17),FALSE)),"",IF(H18="",HLOOKUP(Home!$D$7,$D$2:$F$102,ROW(A17),FALSE),IF(C18=FALSE,"C"))))</f>
        <v/>
      </c>
      <c r="C18" s="5" t="b">
        <v>1</v>
      </c>
      <c r="D18" s="15"/>
      <c r="E18" s="15"/>
      <c r="F18" s="15"/>
      <c r="G18" s="9" t="s">
        <v>54</v>
      </c>
      <c r="H18" s="25"/>
    </row>
    <row r="19" spans="2:8" hidden="1" x14ac:dyDescent="0.3">
      <c r="B19" s="5" t="str">
        <f>IF(OR(Home!$D$7="",Home!$D$8="No"),"",IF(ISBLANK(HLOOKUP(Home!$D$7,$D$2:$F$102,ROW(A18),FALSE)),"",IF(H19="",HLOOKUP(Home!$D$7,$D$2:$F$102,ROW(A18),FALSE),IF(C19=FALSE,"C"))))</f>
        <v/>
      </c>
      <c r="C19" s="5" t="b">
        <v>1</v>
      </c>
      <c r="D19" s="15"/>
      <c r="E19" s="15"/>
      <c r="F19" s="15"/>
      <c r="G19" s="9" t="str">
        <f>IF(H18="Limited Liability Company (LLC)","If LLC, Select Tax Classification:","")</f>
        <v/>
      </c>
      <c r="H19" s="25"/>
    </row>
    <row r="20" spans="2:8" ht="28.8" hidden="1" x14ac:dyDescent="0.3">
      <c r="B20" s="5" t="str">
        <f>IF(OR(Home!$D$7="",Home!$D$8="No"),"",IF(ISBLANK(HLOOKUP(Home!$D$7,$D$2:$F$102,ROW(A19),FALSE)),"",IF(H20="",HLOOKUP(Home!$D$7,$D$2:$F$102,ROW(A19),FALSE),IF(C20=FALSE,"C"))))</f>
        <v/>
      </c>
      <c r="C20" s="5" t="b">
        <v>1</v>
      </c>
      <c r="D20" s="15"/>
      <c r="E20" s="15"/>
      <c r="F20" s="15"/>
      <c r="G20" s="9" t="s">
        <v>55</v>
      </c>
      <c r="H20" s="25"/>
    </row>
    <row r="21" spans="2:8" hidden="1" x14ac:dyDescent="0.3">
      <c r="B21" s="5" t="str">
        <f>IF(OR(Home!$D$7="",Home!$D$8="No"),"",IF(ISBLANK(HLOOKUP(Home!$D$7,$D$2:$F$102,ROW(A20),FALSE)),"",IF(H21="",HLOOKUP(Home!$D$7,$D$2:$F$102,ROW(A20),FALSE),IF(C21=FALSE,"C"))))</f>
        <v/>
      </c>
      <c r="C21" s="5" t="b">
        <v>1</v>
      </c>
      <c r="D21" s="15"/>
      <c r="E21" s="15"/>
      <c r="F21" s="15"/>
      <c r="G21" s="9" t="str">
        <f>IF(OR($H$20="Yes - Small and Diverse",$H$20="Yes - Diverse Only"),"Indicate if Disadvantaged Business (DBE):","")</f>
        <v/>
      </c>
      <c r="H21" s="25"/>
    </row>
    <row r="22" spans="2:8" hidden="1" x14ac:dyDescent="0.3">
      <c r="B22" s="5" t="str">
        <f>IF(OR(Home!$D$7="",Home!$D$8="No"),"",IF(ISBLANK(HLOOKUP(Home!$D$7,$D$2:$F$102,ROW(A21),FALSE)),"",IF(H22="",HLOOKUP(Home!$D$7,$D$2:$F$102,ROW(A21),FALSE),IF(C22=FALSE,"C"))))</f>
        <v/>
      </c>
      <c r="C22" s="5" t="b">
        <v>1</v>
      </c>
      <c r="D22" s="15"/>
      <c r="E22" s="15"/>
      <c r="F22" s="15"/>
      <c r="G22" s="9" t="str">
        <f>IF(OR($H$20="Yes - Small and Diverse",$H$20="Yes - Diverse Only"),"Indicate if Woman-Owned Business (WBE):","")</f>
        <v/>
      </c>
      <c r="H22" s="25"/>
    </row>
    <row r="23" spans="2:8" hidden="1" x14ac:dyDescent="0.3">
      <c r="B23" s="5" t="str">
        <f>IF(OR(Home!$D$7="",Home!$D$8="No"),"",IF(ISBLANK(HLOOKUP(Home!$D$7,$D$2:$F$102,ROW(A22),FALSE)),"",IF(H23="",HLOOKUP(Home!$D$7,$D$2:$F$102,ROW(A22),FALSE),IF(C23=FALSE,"C"))))</f>
        <v/>
      </c>
      <c r="C23" s="5" t="b">
        <v>1</v>
      </c>
      <c r="D23" s="15"/>
      <c r="E23" s="15"/>
      <c r="F23" s="15"/>
      <c r="G23" s="9" t="str">
        <f>IF(OR($H$20="Yes - Small and Diverse",$H$20="Yes - Diverse Only"),"Indicate if Minority Owned Business (MBE):","")</f>
        <v/>
      </c>
      <c r="H23" s="25"/>
    </row>
    <row r="24" spans="2:8" hidden="1" x14ac:dyDescent="0.3">
      <c r="B24" s="5" t="str">
        <f>IF(OR(Home!$D$7="",Home!$D$8="No"),"",IF(ISBLANK(HLOOKUP(Home!$D$7,$D$2:$F$102,ROW(A23),FALSE)),"",IF(H24="",HLOOKUP(Home!$D$7,$D$2:$F$102,ROW(A23),FALSE),IF(C24=FALSE,"C"))))</f>
        <v/>
      </c>
      <c r="C24" s="5" t="b">
        <v>1</v>
      </c>
      <c r="D24" s="15"/>
      <c r="E24" s="15"/>
      <c r="F24" s="15"/>
      <c r="G24" s="9" t="str">
        <f>IF(OR($H$20="Yes - Small and Diverse",$H$20="Yes - Diverse Only"),"Indicate if Veteran Owned Business (VBE):","")</f>
        <v/>
      </c>
      <c r="H24" s="25"/>
    </row>
    <row r="25" spans="2:8" ht="32.25" hidden="1" customHeight="1" x14ac:dyDescent="0.3">
      <c r="B25" s="5" t="str">
        <f>IF(OR(Home!$D$7="",Home!$D$8="No"),"",IF(ISBLANK(HLOOKUP(Home!$D$7,$D$2:$F$102,ROW(A24),FALSE)),"",IF(H25="",HLOOKUP(Home!$D$7,$D$2:$F$102,ROW(A24),FALSE),IF(C25=FALSE,"C"))))</f>
        <v/>
      </c>
      <c r="C25" s="5" t="b">
        <v>1</v>
      </c>
      <c r="D25" s="15"/>
      <c r="E25" s="15"/>
      <c r="F25" s="15"/>
      <c r="G25" s="9" t="str">
        <f>IF(OR($H$20="Yes - Small and Diverse",$H$20="Yes - Diverse Only"),"Indicate if Historically Black Colleges / Universities &amp; Minority Institutions:","")</f>
        <v/>
      </c>
      <c r="H25" s="25"/>
    </row>
    <row r="26" spans="2:8" hidden="1" x14ac:dyDescent="0.3">
      <c r="B26" s="5" t="str">
        <f>IF(OR(Home!$D$7="",Home!$D$8="No"),"",IF(ISBLANK(HLOOKUP(Home!$D$7,$D$2:$F$102,ROW(A25),FALSE)),"",IF(H26="",HLOOKUP(Home!$D$7,$D$2:$F$102,ROW(A25),FALSE),IF(C26=FALSE,"C"))))</f>
        <v/>
      </c>
      <c r="C26" s="5" t="b">
        <v>1</v>
      </c>
      <c r="D26" s="15"/>
      <c r="E26" s="15"/>
      <c r="F26" s="15"/>
      <c r="G26" s="9" t="str">
        <f>IF(OR($H$20="Yes - Small and Diverse"),"Indicate if HUBZone Small Business (HUB Zone):","")</f>
        <v/>
      </c>
      <c r="H26" s="25"/>
    </row>
    <row r="27" spans="2:8" ht="33.75" hidden="1" customHeight="1" x14ac:dyDescent="0.3">
      <c r="B27" s="5" t="str">
        <f>IF(OR(Home!$D$7="",Home!$D$8="No"),"",IF(ISBLANK(HLOOKUP(Home!$D$7,$D$2:$F$102,ROW(A26),FALSE)),"",IF(H27="",HLOOKUP(Home!$D$7,$D$2:$F$102,ROW(A26),FALSE),IF(C27=FALSE,"C"))))</f>
        <v/>
      </c>
      <c r="C27" s="5" t="b">
        <v>1</v>
      </c>
      <c r="D27" s="15"/>
      <c r="E27" s="15"/>
      <c r="F27" s="15"/>
      <c r="G27" s="9" t="str">
        <f>IF(OR($H$20="Yes - Small and Diverse"),"Indicate if Service Disabled Veteran-Owned Small Business (SDVOSB):","")</f>
        <v/>
      </c>
      <c r="H27" s="25"/>
    </row>
    <row r="28" spans="2:8" ht="33.75" hidden="1" customHeight="1" x14ac:dyDescent="0.3">
      <c r="B28" s="5" t="str">
        <f>IF(OR(Home!$D$7="",Home!$D$8="No"),"",IF(ISBLANK(HLOOKUP(Home!$D$7,$D$2:$F$102,ROW(A27),FALSE)),"",IF(H28="",HLOOKUP(Home!$D$7,$D$2:$F$102,ROW(A27),FALSE),IF(C28=FALSE,"C"))))</f>
        <v/>
      </c>
      <c r="C28" s="5" t="b">
        <v>1</v>
      </c>
      <c r="D28" s="15"/>
      <c r="E28" s="15"/>
      <c r="F28" s="15"/>
      <c r="G28" s="9" t="str">
        <f>IF(OR($H$20="Yes - Small and Diverse"),"Indicate if Alaskan Native Corporations (ANCs) &amp; Indian Tribes):","")</f>
        <v/>
      </c>
      <c r="H28" s="25"/>
    </row>
    <row r="29" spans="2:8" ht="23.25" customHeight="1" x14ac:dyDescent="0.3">
      <c r="B29" s="5" t="str">
        <f>IF(OR(Home!$D$7="",Home!$D$8="No"),"",IF(ISBLANK(HLOOKUP(Home!$D$7,$D$2:$F$102,ROW(A28),FALSE)),"",IF(H29="",HLOOKUP(Home!$D$7,$D$2:$F$102,ROW(A28),FALSE),IF(C29=FALSE,"C"))))</f>
        <v/>
      </c>
      <c r="C29" s="5" t="b">
        <v>1</v>
      </c>
      <c r="D29" s="15"/>
      <c r="E29" s="15"/>
      <c r="F29" s="15" t="s">
        <v>8</v>
      </c>
      <c r="G29" s="48" t="s">
        <v>56</v>
      </c>
      <c r="H29" s="53"/>
    </row>
    <row r="30" spans="2:8" x14ac:dyDescent="0.3">
      <c r="B30" s="5" t="str">
        <f>IF(OR(Home!$D$7="",Home!$D$8="No"),"",IF(ISBLANK(HLOOKUP(Home!$D$7,$D$2:$F$102,ROW(A29),FALSE)),"",IF(H30="",HLOOKUP(Home!$D$7,$D$2:$F$102,ROW(A29),FALSE),IF(C30=FALSE,"C"))))</f>
        <v/>
      </c>
      <c r="C30" s="5" t="b">
        <v>1</v>
      </c>
      <c r="D30" s="15"/>
      <c r="E30" s="15"/>
      <c r="F30" s="15" t="s">
        <v>9</v>
      </c>
      <c r="G30" s="9" t="s">
        <v>19</v>
      </c>
      <c r="H30" s="25"/>
    </row>
    <row r="31" spans="2:8" x14ac:dyDescent="0.3">
      <c r="B31" s="5" t="str">
        <f>IF(OR(Home!$D$7="",Home!$D$8="No"),"",IF(ISBLANK(HLOOKUP(Home!$D$7,$D$2:$F$102,ROW(A30),FALSE)),"",IF(H31="",HLOOKUP(Home!$D$7,$D$2:$F$102,ROW(A30),FALSE),IF(C31=FALSE,"C"))))</f>
        <v/>
      </c>
      <c r="C31" s="5" t="b">
        <v>1</v>
      </c>
      <c r="D31" s="15"/>
      <c r="E31" s="15"/>
      <c r="F31" s="15" t="s">
        <v>8</v>
      </c>
      <c r="G31" s="9" t="s">
        <v>20</v>
      </c>
      <c r="H31" s="25"/>
    </row>
    <row r="32" spans="2:8" x14ac:dyDescent="0.3">
      <c r="B32" s="5" t="str">
        <f>IF(OR(Home!$D$7="",Home!$D$8="No"),"",IF(ISBLANK(HLOOKUP(Home!$D$7,$D$2:$F$102,ROW(A31),FALSE)),"",IF(H32="",HLOOKUP(Home!$D$7,$D$2:$F$102,ROW(A31),FALSE),IF(C32=FALSE,"C"))))</f>
        <v/>
      </c>
      <c r="C32" s="5" t="b">
        <v>1</v>
      </c>
      <c r="D32" s="15"/>
      <c r="E32" s="15"/>
      <c r="F32" s="15" t="s">
        <v>9</v>
      </c>
      <c r="G32" s="9" t="s">
        <v>57</v>
      </c>
      <c r="H32" s="25"/>
    </row>
    <row r="33" spans="2:8" x14ac:dyDescent="0.3">
      <c r="B33" s="5" t="str">
        <f>IF(OR(Home!$D$7="",Home!$D$8="No"),"",IF(ISBLANK(HLOOKUP(Home!$D$7,$D$2:$F$102,ROW(A32),FALSE)),"",IF(H33="",HLOOKUP(Home!$D$7,$D$2:$F$102,ROW(A32),FALSE),IF(C33=FALSE,"C"))))</f>
        <v/>
      </c>
      <c r="C33" s="5" t="b">
        <v>1</v>
      </c>
      <c r="D33" s="15"/>
      <c r="E33" s="15"/>
      <c r="F33" s="15" t="s">
        <v>9</v>
      </c>
      <c r="G33" s="9" t="s">
        <v>58</v>
      </c>
      <c r="H33" s="25"/>
    </row>
    <row r="34" spans="2:8" x14ac:dyDescent="0.3">
      <c r="B34" s="5" t="str">
        <f>IF(OR(Home!$D$7="",Home!$D$8="No"),"",IF(ISBLANK(HLOOKUP(Home!$D$7,$D$2:$F$102,ROW(A33),FALSE)),"",IF(H34="",HLOOKUP(Home!$D$7,$D$2:$F$102,ROW(A33),FALSE),IF(C34=FALSE,"C"))))</f>
        <v/>
      </c>
      <c r="C34" s="5" t="b">
        <v>1</v>
      </c>
      <c r="D34" s="15"/>
      <c r="E34" s="15"/>
      <c r="F34" s="15" t="s">
        <v>9</v>
      </c>
      <c r="G34" s="9" t="s">
        <v>59</v>
      </c>
      <c r="H34" s="25"/>
    </row>
    <row r="35" spans="2:8" hidden="1" x14ac:dyDescent="0.3">
      <c r="B35" s="5" t="str">
        <f>IF(OR(Home!$D$7="",Home!$D$8="No"),"",IF(ISBLANK(HLOOKUP(Home!$D$7,$D$2:$F$102,ROW(A34),FALSE)),"",IF(H35="",HLOOKUP(Home!$D$7,$D$2:$F$102,ROW(A34),FALSE),IF(C35=FALSE,"C"))))</f>
        <v/>
      </c>
      <c r="C35" s="5" t="b">
        <f>AND(ISNUMBER(H35+0),LEFT(H35,1)="1")</f>
        <v>0</v>
      </c>
      <c r="D35" s="15"/>
      <c r="E35" s="13"/>
      <c r="F35" s="15"/>
      <c r="G35" s="9" t="s">
        <v>60</v>
      </c>
      <c r="H35" s="25"/>
    </row>
    <row r="36" spans="2:8" hidden="1" x14ac:dyDescent="0.3">
      <c r="B36" s="5" t="str">
        <f>IF(OR(Home!$D$7="",Home!$D$8="No"),"",IF(ISBLANK(HLOOKUP(Home!$D$7,$D$2:$F$102,ROW(A35),FALSE)),"",IF(H36="",HLOOKUP(Home!$D$7,$D$2:$F$102,ROW(A35),FALSE),IF(C36=FALSE,"C"))))</f>
        <v/>
      </c>
      <c r="C36" s="5" t="b">
        <f>IF(H36="",TRUE,ISNUMBER(FIND("@",H36,1)+FIND(".",H36,1)))</f>
        <v>1</v>
      </c>
      <c r="D36" s="15"/>
      <c r="E36" s="13"/>
      <c r="F36" s="15"/>
      <c r="G36" s="9" t="s">
        <v>61</v>
      </c>
      <c r="H36" s="25"/>
    </row>
    <row r="37" spans="2:8" ht="23.25" hidden="1" customHeight="1" x14ac:dyDescent="0.3">
      <c r="B37" s="5" t="str">
        <f>IF(OR(Home!$D$7="",Home!$D$8="No"),"",IF(ISBLANK(HLOOKUP(Home!$D$7,$D$2:$F$102,ROW(A36),FALSE)),"",IF(H37="",HLOOKUP(Home!$D$7,$D$2:$F$102,ROW(A36),FALSE),IF(C37=FALSE,"C"))))</f>
        <v/>
      </c>
      <c r="C37" s="5" t="b">
        <v>1</v>
      </c>
      <c r="D37" s="15"/>
      <c r="E37" s="13"/>
      <c r="F37" s="15"/>
      <c r="G37" s="48" t="s">
        <v>22</v>
      </c>
      <c r="H37" s="53"/>
    </row>
    <row r="38" spans="2:8" hidden="1" x14ac:dyDescent="0.3">
      <c r="B38" s="5" t="str">
        <f>IF(OR(Home!$D$7="",Home!$D$8="No"),"",IF(ISBLANK(HLOOKUP(Home!$D$7,$D$2:$F$102,ROW(A37),FALSE)),"",IF(H38="",HLOOKUP(Home!$D$7,$D$2:$F$102,ROW(A37),FALSE),IF(C38=FALSE,"C"))))</f>
        <v/>
      </c>
      <c r="C38" s="5" t="b">
        <v>1</v>
      </c>
      <c r="D38" s="15"/>
      <c r="E38" s="13"/>
      <c r="F38" s="15"/>
      <c r="G38" s="9" t="s">
        <v>62</v>
      </c>
      <c r="H38" s="25"/>
    </row>
    <row r="39" spans="2:8" hidden="1" x14ac:dyDescent="0.3">
      <c r="B39" s="5" t="str">
        <f>IF(OR(Home!$D$7="",Home!$D$8="No"),"",IF(ISBLANK(HLOOKUP(Home!$D$7,$D$2:$F$102,ROW(A38),FALSE)),"",IF(H39="",HLOOKUP(Home!$D$7,$D$2:$F$102,ROW(A38),FALSE),IF(C39=FALSE,"C"))))</f>
        <v/>
      </c>
      <c r="C39" s="5" t="b">
        <f>IF(H39="",TRUE,ISNUMBER(FIND("@",H39,1)+FIND(".",H39,1)))</f>
        <v>1</v>
      </c>
      <c r="D39" s="15"/>
      <c r="E39" s="13"/>
      <c r="F39" s="15"/>
      <c r="G39" s="9" t="str">
        <f>IF(LEFT($H$38,5)="Email","Email for Receiving Orders:","")</f>
        <v/>
      </c>
      <c r="H39" s="25"/>
    </row>
    <row r="40" spans="2:8" hidden="1" x14ac:dyDescent="0.3">
      <c r="B40" s="5" t="str">
        <f>IF(OR(Home!$D$7="",Home!$D$8="No"),"",IF(ISBLANK(HLOOKUP(Home!$D$7,$D$2:$F$102,ROW(A39),FALSE)),"",IF(H40="",HLOOKUP(Home!$D$7,$D$2:$F$102,ROW(A39),FALSE),IF(C40=FALSE,"C"))))</f>
        <v/>
      </c>
      <c r="C40" s="5" t="b">
        <f>ISNUMBER(H40+0)</f>
        <v>1</v>
      </c>
      <c r="D40" s="15"/>
      <c r="E40" s="13"/>
      <c r="F40" s="15"/>
      <c r="G40" s="9" t="str">
        <f>IF($H$38="Fax","Fax Number for Receiving Orders:","")</f>
        <v/>
      </c>
      <c r="H40" s="25"/>
    </row>
    <row r="41" spans="2:8" ht="28.8" hidden="1" x14ac:dyDescent="0.3">
      <c r="B41" s="5" t="str">
        <f>IF(OR(Home!$D$7="",Home!$D$8="No"),"",IF(ISBLANK(HLOOKUP(Home!$D$7,$D$2:$F$102,ROW(A40),FALSE)),"",IF(H41="",HLOOKUP(Home!$D$7,$D$2:$F$102,ROW(A40),FALSE),IF(C41=FALSE,"C"))))</f>
        <v/>
      </c>
      <c r="C41" s="5" t="b">
        <v>1</v>
      </c>
      <c r="D41" s="15"/>
      <c r="E41" s="15"/>
      <c r="F41" s="15"/>
      <c r="G41" s="9" t="s">
        <v>63</v>
      </c>
      <c r="H41" s="25"/>
    </row>
    <row r="42" spans="2:8" hidden="1" x14ac:dyDescent="0.3">
      <c r="B42" s="5" t="str">
        <f>IF(OR(Home!$D$7="",Home!$D$8="No"),"",IF(ISBLANK(HLOOKUP(Home!$D$7,$D$2:$F$102,ROW(A41),FALSE)),"",IF(H42="",HLOOKUP(Home!$D$7,$D$2:$F$102,ROW(A41),FALSE),IF(C42=FALSE,"C"))))</f>
        <v/>
      </c>
      <c r="C42" s="5" t="b">
        <v>1</v>
      </c>
      <c r="D42" s="15"/>
      <c r="E42" s="13"/>
      <c r="F42" s="15"/>
      <c r="G42" s="9" t="str">
        <f>IF($H$41="No","Address Line 1:","")</f>
        <v/>
      </c>
      <c r="H42" s="25"/>
    </row>
    <row r="43" spans="2:8" hidden="1" x14ac:dyDescent="0.3">
      <c r="B43" s="5" t="str">
        <f>IF(OR(Home!$D$7="",Home!$D$8="No"),"",IF(ISBLANK(HLOOKUP(Home!$D$7,$D$2:$F$102,ROW(A42),FALSE)),"",IF(H43="",HLOOKUP(Home!$D$7,$D$2:$F$102,ROW(A42),FALSE),IF(C43=FALSE,"C"))))</f>
        <v/>
      </c>
      <c r="C43" s="5" t="b">
        <v>1</v>
      </c>
      <c r="D43" s="15"/>
      <c r="E43" s="13"/>
      <c r="F43" s="15"/>
      <c r="G43" s="9" t="str">
        <f>IF($H$41="No","Address Line 2:","")</f>
        <v/>
      </c>
      <c r="H43" s="25"/>
    </row>
    <row r="44" spans="2:8" hidden="1" x14ac:dyDescent="0.3">
      <c r="B44" s="5" t="str">
        <f>IF(OR(Home!$D$7="",Home!$D$8="No"),"",IF(ISBLANK(HLOOKUP(Home!$D$7,$D$2:$F$102,ROW(A43),FALSE)),"",IF(H44="",HLOOKUP(Home!$D$7,$D$2:$F$102,ROW(A43),FALSE),IF(C44=FALSE,"C"))))</f>
        <v/>
      </c>
      <c r="C44" s="5" t="b">
        <v>1</v>
      </c>
      <c r="D44" s="15"/>
      <c r="E44" s="13"/>
      <c r="F44" s="15"/>
      <c r="G44" s="9" t="str">
        <f>IF($H$41="No","City:","")</f>
        <v/>
      </c>
      <c r="H44" s="25"/>
    </row>
    <row r="45" spans="2:8" hidden="1" x14ac:dyDescent="0.3">
      <c r="B45" s="5" t="str">
        <f>IF(OR(Home!$D$7="",Home!$D$8="No"),"",IF(ISBLANK(HLOOKUP(Home!$D$7,$D$2:$F$102,ROW(A44),FALSE)),"",IF(H45="",HLOOKUP(Home!$D$7,$D$2:$F$102,ROW(A44),FALSE),IF(C45=FALSE,"C"))))</f>
        <v/>
      </c>
      <c r="C45" s="5" t="b">
        <v>1</v>
      </c>
      <c r="D45" s="15"/>
      <c r="E45" s="13"/>
      <c r="F45" s="15"/>
      <c r="G45" s="9" t="str">
        <f>IF($H$41="No","State:","")</f>
        <v/>
      </c>
      <c r="H45" s="25"/>
    </row>
    <row r="46" spans="2:8" hidden="1" x14ac:dyDescent="0.3">
      <c r="B46" s="5" t="str">
        <f>IF(OR(Home!$D$7="",Home!$D$8="No"),"",IF(ISBLANK(HLOOKUP(Home!$D$7,$D$2:$F$102,ROW(A45),FALSE)),"",IF(H46="",HLOOKUP(Home!$D$7,$D$2:$F$102,ROW(A45),FALSE),IF(C46=FALSE,"C"))))</f>
        <v/>
      </c>
      <c r="C46" s="5" t="b">
        <v>1</v>
      </c>
      <c r="D46" s="15"/>
      <c r="E46" s="13"/>
      <c r="F46" s="15"/>
      <c r="G46" s="9" t="str">
        <f>IF($H$41="No","ZIP Code:","")</f>
        <v/>
      </c>
      <c r="H46" s="25"/>
    </row>
    <row r="47" spans="2:8" hidden="1" x14ac:dyDescent="0.3">
      <c r="B47" s="5" t="str">
        <f>IF(OR(Home!$D$7="",Home!$D$8="No"),"",IF(ISBLANK(HLOOKUP(Home!$D$7,$D$2:$F$102,ROW(A46),FALSE)),"",IF(H47="",HLOOKUP(Home!$D$7,$D$2:$F$102,ROW(A46),FALSE),IF(C47=FALSE,"C"))))</f>
        <v/>
      </c>
      <c r="C47" s="5" t="b">
        <f>AND(ISNUMBER(H47+0),LEFT(H47,1)="1")</f>
        <v>0</v>
      </c>
      <c r="D47" s="15"/>
      <c r="E47" s="13"/>
      <c r="F47" s="15"/>
      <c r="G47" s="9" t="str">
        <f>IF($H$41="No","Phone:","")</f>
        <v/>
      </c>
      <c r="H47" s="25"/>
    </row>
    <row r="48" spans="2:8" ht="23.25" hidden="1" customHeight="1" x14ac:dyDescent="0.3">
      <c r="B48" s="5" t="str">
        <f>IF(OR(Home!$D$7="",Home!$D$8="No"),"",IF(ISBLANK(HLOOKUP(Home!$D$7,$D$2:$F$102,ROW(A47),FALSE)),"",IF(H48="",HLOOKUP(Home!$D$7,$D$2:$F$102,ROW(A47),FALSE),IF(C48=FALSE,"C"))))</f>
        <v/>
      </c>
      <c r="C48" s="5" t="b">
        <v>1</v>
      </c>
      <c r="D48" s="15"/>
      <c r="E48" s="15"/>
      <c r="F48" s="15"/>
      <c r="G48" s="48" t="s">
        <v>64</v>
      </c>
      <c r="H48" s="53"/>
    </row>
    <row r="49" spans="2:8" ht="33.75" hidden="1" customHeight="1" x14ac:dyDescent="0.3">
      <c r="B49" s="5" t="str">
        <f>IF(OR(Home!$D$7="",Home!$D$8="No"),"",IF(ISBLANK(HLOOKUP(Home!$D$7,$D$2:$F$102,ROW(A48),FALSE)),"",IF(H49="",HLOOKUP(Home!$D$7,$D$2:$F$102,ROW(A48),FALSE),IF(C49=FALSE,"C"))))</f>
        <v/>
      </c>
      <c r="C49" s="5" t="b">
        <v>1</v>
      </c>
      <c r="D49" s="15"/>
      <c r="E49" s="15"/>
      <c r="F49" s="15"/>
      <c r="G49" s="9" t="s">
        <v>65</v>
      </c>
      <c r="H49" s="25"/>
    </row>
    <row r="50" spans="2:8" hidden="1" x14ac:dyDescent="0.3">
      <c r="B50" s="5" t="str">
        <f>IF(OR(Home!$D$7="",Home!$D$8="No"),"",IF(ISBLANK(HLOOKUP(Home!$D$7,$D$2:$F$102,ROW(A49),FALSE)),"",IF(H50="",HLOOKUP(Home!$D$7,$D$2:$F$102,ROW(A49),FALSE),IF(C50=FALSE,"C"))))</f>
        <v/>
      </c>
      <c r="C50" s="5" t="b">
        <v>1</v>
      </c>
      <c r="D50" s="15"/>
      <c r="E50" s="15"/>
      <c r="F50" s="15"/>
      <c r="G50" s="9" t="str">
        <f>IF($H$49="No","Address Line 1:","")</f>
        <v/>
      </c>
      <c r="H50" s="25"/>
    </row>
    <row r="51" spans="2:8" hidden="1" x14ac:dyDescent="0.3">
      <c r="B51" s="5" t="str">
        <f>IF(OR(Home!$D$7="",Home!$D$8="No"),"",IF(ISBLANK(HLOOKUP(Home!$D$7,$D$2:$F$102,ROW(A50),FALSE)),"",IF(H51="",HLOOKUP(Home!$D$7,$D$2:$F$102,ROW(A50),FALSE),IF(C51=FALSE,"C"))))</f>
        <v/>
      </c>
      <c r="C51" s="5" t="b">
        <v>1</v>
      </c>
      <c r="D51" s="15"/>
      <c r="E51" s="15"/>
      <c r="F51" s="15"/>
      <c r="G51" s="9" t="str">
        <f>IF($H$49="No","Address Line 2:","")</f>
        <v/>
      </c>
      <c r="H51" s="25"/>
    </row>
    <row r="52" spans="2:8" hidden="1" x14ac:dyDescent="0.3">
      <c r="B52" s="5" t="str">
        <f>IF(OR(Home!$D$7="",Home!$D$8="No"),"",IF(ISBLANK(HLOOKUP(Home!$D$7,$D$2:$F$102,ROW(A51),FALSE)),"",IF(H52="",HLOOKUP(Home!$D$7,$D$2:$F$102,ROW(A51),FALSE),IF(C52=FALSE,"C"))))</f>
        <v/>
      </c>
      <c r="C52" s="5" t="b">
        <v>1</v>
      </c>
      <c r="D52" s="15"/>
      <c r="E52" s="15"/>
      <c r="F52" s="15"/>
      <c r="G52" s="9" t="str">
        <f>IF($H$49="No","City:","")</f>
        <v/>
      </c>
      <c r="H52" s="25"/>
    </row>
    <row r="53" spans="2:8" hidden="1" x14ac:dyDescent="0.3">
      <c r="B53" s="5" t="str">
        <f>IF(OR(Home!$D$7="",Home!$D$8="No"),"",IF(ISBLANK(HLOOKUP(Home!$D$7,$D$2:$F$102,ROW(A52),FALSE)),"",IF(H53="",HLOOKUP(Home!$D$7,$D$2:$F$102,ROW(A52),FALSE),IF(C53=FALSE,"C"))))</f>
        <v/>
      </c>
      <c r="C53" s="5" t="b">
        <v>1</v>
      </c>
      <c r="D53" s="15"/>
      <c r="E53" s="15"/>
      <c r="F53" s="15"/>
      <c r="G53" s="9" t="str">
        <f>IF($H$49="No","State:","")</f>
        <v/>
      </c>
      <c r="H53" s="25"/>
    </row>
    <row r="54" spans="2:8" hidden="1" x14ac:dyDescent="0.3">
      <c r="B54" s="5" t="str">
        <f>IF(OR(Home!$D$7="",Home!$D$8="No"),"",IF(ISBLANK(HLOOKUP(Home!$D$7,$D$2:$F$102,ROW(A53),FALSE)),"",IF(H54="",HLOOKUP(Home!$D$7,$D$2:$F$102,ROW(A53),FALSE),IF(C54=FALSE,"C"))))</f>
        <v/>
      </c>
      <c r="C54" s="5" t="b">
        <v>1</v>
      </c>
      <c r="D54" s="15"/>
      <c r="E54" s="15"/>
      <c r="F54" s="15"/>
      <c r="G54" s="9" t="str">
        <f>IF($H$49="No","ZIP Code:","")</f>
        <v/>
      </c>
      <c r="H54" s="25"/>
    </row>
    <row r="55" spans="2:8" hidden="1" x14ac:dyDescent="0.3">
      <c r="B55" s="5" t="str">
        <f>IF(OR(Home!$D$7="",Home!$D$8="No"),"",IF(ISBLANK(HLOOKUP(Home!$D$7,$D$2:$F$102,ROW(A54),FALSE)),"",IF(H55="",HLOOKUP(Home!$D$7,$D$2:$F$102,ROW(A54),FALSE),IF(C55=FALSE,"C"))))</f>
        <v/>
      </c>
      <c r="C55" s="5" t="b">
        <f>AND(ISNUMBER(H55+0),LEFT(H55,1)="1")</f>
        <v>0</v>
      </c>
      <c r="D55" s="15"/>
      <c r="E55" s="15"/>
      <c r="F55" s="15"/>
      <c r="G55" s="9" t="str">
        <f>IF($H$49="No","Phone:","")</f>
        <v/>
      </c>
      <c r="H55" s="25"/>
    </row>
    <row r="56" spans="2:8" hidden="1" x14ac:dyDescent="0.3">
      <c r="B56" s="5" t="str">
        <f>IF(OR(Home!$D$7="",Home!$D$8="No"),"",IF(ISBLANK(HLOOKUP(Home!$D$7,$D$2:$F$102,ROW(A55),FALSE)),"",IF(H56="",HLOOKUP(Home!$D$7,$D$2:$F$102,ROW(A55),FALSE),IF(C56=FALSE,"C"))))</f>
        <v/>
      </c>
      <c r="C56" s="5" t="b">
        <f>IF(H56="",TRUE,ISNUMBER(FIND("@",H56,1)+FIND(".",H56,1)))</f>
        <v>1</v>
      </c>
      <c r="D56" s="15"/>
      <c r="E56" s="15"/>
      <c r="F56" s="15"/>
      <c r="G56" s="9" t="str">
        <f>IF($H$49="No","Email:","")</f>
        <v/>
      </c>
      <c r="H56" s="25"/>
    </row>
    <row r="57" spans="2:8" ht="23.25" customHeight="1" x14ac:dyDescent="0.3">
      <c r="B57" s="5" t="str">
        <f>IF(OR(Home!$D$7="",Home!$D$8="No"),"",IF(ISBLANK(HLOOKUP(Home!$D$7,$D$2:$F$102,ROW(A56),FALSE)),"",IF(H57="",HLOOKUP(Home!$D$7,$D$2:$F$102,ROW(A56),FALSE),IF(C57=FALSE,"C"))))</f>
        <v/>
      </c>
      <c r="C57" s="5" t="b">
        <v>1</v>
      </c>
      <c r="D57" s="15"/>
      <c r="E57" s="15"/>
      <c r="F57" s="15" t="s">
        <v>8</v>
      </c>
      <c r="G57" s="48" t="s">
        <v>23</v>
      </c>
      <c r="H57" s="53"/>
    </row>
    <row r="58" spans="2:8" x14ac:dyDescent="0.3">
      <c r="B58" s="5" t="str">
        <f>IF(OR(Home!$D$7="",Home!$D$8="No"),"",IF(ISBLANK(HLOOKUP(Home!$D$7,$D$2:$F$102,ROW(A57),FALSE)),"",IF(H58="",HLOOKUP(Home!$D$7,$D$2:$F$102,ROW(A57),FALSE),IF(C58=FALSE,"C"))))</f>
        <v/>
      </c>
      <c r="C58" s="5" t="b">
        <v>1</v>
      </c>
      <c r="D58" s="15"/>
      <c r="E58" s="15"/>
      <c r="F58" s="15" t="s">
        <v>8</v>
      </c>
      <c r="G58" s="59" t="s">
        <v>66</v>
      </c>
      <c r="H58" s="60"/>
    </row>
    <row r="59" spans="2:8" ht="43.2" x14ac:dyDescent="0.3">
      <c r="B59" s="5" t="str">
        <f>IF(OR(Home!$D$7="",Home!$D$8="No"),"",IF(ISBLANK(HLOOKUP(Home!$D$7,$D$2:$F$102,ROW(A58),FALSE)),"",IF(H59="",HLOOKUP(Home!$D$7,$D$2:$F$102,ROW(A58),FALSE),IF(C59=FALSE,"C"))))</f>
        <v/>
      </c>
      <c r="C59" s="5" t="b">
        <v>1</v>
      </c>
      <c r="D59" s="15"/>
      <c r="E59" s="15"/>
      <c r="F59" s="15" t="s">
        <v>9</v>
      </c>
      <c r="G59" s="9" t="s">
        <v>67</v>
      </c>
      <c r="H59" s="25"/>
    </row>
    <row r="60" spans="2:8" ht="86.4" x14ac:dyDescent="0.3">
      <c r="B60" s="5" t="str">
        <f>IF(OR(Home!$D$7="",Home!$D$8="No"),"",IF(ISBLANK(HLOOKUP(Home!$D$7,$D$2:$F$102,ROW(A59),FALSE)),"",IF(H60="",HLOOKUP(Home!$D$7,$D$2:$F$102,ROW(A59),FALSE),IF(C60=FALSE,"C"))))</f>
        <v/>
      </c>
      <c r="C60" s="5" t="b">
        <v>1</v>
      </c>
      <c r="D60" s="15"/>
      <c r="E60" s="15"/>
      <c r="F60" s="15" t="s">
        <v>9</v>
      </c>
      <c r="G60" s="9" t="s">
        <v>68</v>
      </c>
      <c r="H60" s="25"/>
    </row>
    <row r="61" spans="2:8" ht="43.2" hidden="1" x14ac:dyDescent="0.3">
      <c r="B61" s="5" t="str">
        <f>IF(OR(Home!$D$7="",Home!$D$8="No"),"",IF(ISBLANK(HLOOKUP(Home!$D$7,$D$2:$F$102,ROW(A60),FALSE)),"",IF(H61="",HLOOKUP(Home!$D$7,$D$2:$F$102,ROW(A60),FALSE),IF(C61=FALSE,"C"))))</f>
        <v/>
      </c>
      <c r="C61" s="5" t="b">
        <v>1</v>
      </c>
      <c r="D61" s="15"/>
      <c r="E61" s="15"/>
      <c r="F61" s="15"/>
      <c r="G61" s="9" t="s">
        <v>69</v>
      </c>
      <c r="H61" s="25"/>
    </row>
    <row r="62" spans="2:8" ht="86.4" hidden="1" x14ac:dyDescent="0.3">
      <c r="B62" s="5" t="str">
        <f>IF(OR(Home!$D$7="",Home!$D$8="No"),"",IF(ISBLANK(HLOOKUP(Home!$D$7,$D$2:$F$102,ROW(A61),FALSE)),"",IF(H62="",HLOOKUP(Home!$D$7,$D$2:$F$102,ROW(A61),FALSE),IF(C62=FALSE,"C"))))</f>
        <v/>
      </c>
      <c r="C62" s="5" t="b">
        <v>1</v>
      </c>
      <c r="D62" s="15"/>
      <c r="E62" s="15"/>
      <c r="F62" s="15"/>
      <c r="G62" s="9" t="s">
        <v>70</v>
      </c>
      <c r="H62" s="25"/>
    </row>
    <row r="63" spans="2:8" hidden="1" x14ac:dyDescent="0.3">
      <c r="B63" s="5" t="str">
        <f>IF(OR(Home!$D$7="",Home!$D$8="No"),"",IF(ISBLANK(HLOOKUP(Home!$D$7,$D$2:$F$102,ROW(A62),FALSE)),"",IF(H63="",HLOOKUP(Home!$D$7,$D$2:$F$102,ROW(A62),FALSE),IF(C63=FALSE,"C"))))</f>
        <v/>
      </c>
      <c r="C63" s="5" t="b">
        <v>1</v>
      </c>
      <c r="D63" s="15"/>
      <c r="E63" s="15"/>
      <c r="F63" s="15"/>
      <c r="G63" s="9" t="str">
        <f>IF(Home!$D$7="Company","5. Are you or any Officer, Owner or Partner in this company an employee of Emory University?",IF(Home!$D$7="Individual","5. Are you an employee of Emory University?",""))</f>
        <v/>
      </c>
      <c r="H63" s="25"/>
    </row>
    <row r="64" spans="2:8" ht="76.2" hidden="1" customHeight="1" x14ac:dyDescent="0.3">
      <c r="B64" s="5" t="str">
        <f>IF(OR(Home!$D$7="",Home!$D$8="No"),"",IF(ISBLANK(HLOOKUP(Home!$D$7,$D$2:$F$102,ROW(A63),FALSE)),"",IF(H64="",HLOOKUP(Home!$D$7,$D$2:$F$102,ROW(A63),FALSE),IF(C64=FALSE,"C"))))</f>
        <v/>
      </c>
      <c r="C64" s="5" t="b">
        <v>1</v>
      </c>
      <c r="D64" s="15"/>
      <c r="E64" s="15"/>
      <c r="F64" s="15"/>
      <c r="G64" s="35" t="str">
        <f>HYPERLINK("https://emory.ellucid.com/documents/view/17693/?security=353f1df192117ef8139f94032abe5f3cd53a8395",CONCATENATE("6. Is a direct family member of any of the above an Emory University employee (spouse, partner, etc.)?"," Any existing or proposed relationship, transaction, or other event which may raise a conflict of interest is to be disclosed. For detail, click here:"))</f>
        <v>6. Is a direct family member of any of the above an Emory University employee (spouse, partner, etc.)? Any existing or proposed relationship, transaction, or other event which may raise a conflict of interest is to be disclosed. For detail, click here:</v>
      </c>
      <c r="H64" s="25"/>
    </row>
    <row r="65" spans="2:8" ht="30.75" hidden="1" customHeight="1" x14ac:dyDescent="0.3">
      <c r="B65" s="5" t="str">
        <f>IF(OR(Home!$D$7="",Home!$D$8="No"),"",IF(ISBLANK(HLOOKUP(Home!$D$7,$D$2:$F$102,ROW(A64),FALSE)),"",IF(H65="",HLOOKUP(Home!$D$7,$D$2:$F$102,ROW(A64),FALSE),IF(C65=FALSE,"C"))))</f>
        <v/>
      </c>
      <c r="C65" s="5" t="b">
        <v>1</v>
      </c>
      <c r="D65" s="15"/>
      <c r="E65" s="15"/>
      <c r="F65" s="15"/>
      <c r="G65" s="9" t="str">
        <f>IF($H$64="Yes","6a. Please provide the name of the direct family member who is an Emory University employee:","")</f>
        <v/>
      </c>
      <c r="H65" s="25"/>
    </row>
    <row r="66" spans="2:8" ht="30.75" hidden="1" customHeight="1" x14ac:dyDescent="0.3">
      <c r="B66" s="5" t="str">
        <f>IF(OR(Home!$D$7="",Home!$D$8="No"),"",IF(ISBLANK(HLOOKUP(Home!$D$7,$D$2:$F$102,ROW(A65),FALSE)),"",IF(H66="",HLOOKUP(Home!$D$7,$D$2:$F$102,ROW(A65),FALSE),IF(C66=FALSE,"C"))))</f>
        <v/>
      </c>
      <c r="C66" s="5" t="b">
        <v>1</v>
      </c>
      <c r="D66" s="15"/>
      <c r="E66" s="15"/>
      <c r="F66" s="15"/>
      <c r="G66" s="9" t="str">
        <f>IF($H$64="Yes","6b. Please provide the relationship of the direct family member to the Emory University Employee:","")</f>
        <v/>
      </c>
      <c r="H66" s="25"/>
    </row>
    <row r="67" spans="2:8" ht="72" hidden="1" x14ac:dyDescent="0.3">
      <c r="B67" s="5" t="str">
        <f>IF(OR(Home!$D$7="",Home!$D$8="No"),"",IF(ISBLANK(HLOOKUP(Home!$D$7,$D$2:$F$102,ROW(A66),FALSE)),"",IF(H67="",HLOOKUP(Home!$D$7,$D$2:$F$102,ROW(A66),FALSE),IF(C67=FALSE,"C"))))</f>
        <v/>
      </c>
      <c r="C67" s="5" t="b">
        <v>1</v>
      </c>
      <c r="D67" s="15"/>
      <c r="E67" s="13"/>
      <c r="F67" s="15"/>
      <c r="G67" s="9" t="s">
        <v>71</v>
      </c>
      <c r="H67" s="25"/>
    </row>
    <row r="68" spans="2:8" ht="45.75" hidden="1" customHeight="1" x14ac:dyDescent="0.3">
      <c r="B68" s="5" t="str">
        <f>IF(OR(Home!$D$7="",Home!$D$8="No"),"",IF(ISBLANK(HLOOKUP(Home!$D$7,$D$2:$F$102,ROW(A67),FALSE)),"",IF(H68="",HLOOKUP(Home!$D$7,$D$2:$F$102,ROW(A67),FALSE),IF(C68=FALSE,"C"))))</f>
        <v/>
      </c>
      <c r="C68" s="5" t="b">
        <f>IF(H68="",TRUE,ISNUMBER(FIND("@",H68,1)+FIND(".",H68,1)))</f>
        <v>1</v>
      </c>
      <c r="D68" s="15"/>
      <c r="E68" s="13"/>
      <c r="F68" s="15"/>
      <c r="G68" s="9" t="str">
        <f>IF($H$67='Drop Down'!$D$2,"7a. Please provide the email address where you would want us to send the notification of our payment to you for SUA Payments.","")</f>
        <v/>
      </c>
      <c r="H68" s="26"/>
    </row>
    <row r="69" spans="2:8" hidden="1" x14ac:dyDescent="0.3">
      <c r="B69" s="5" t="str">
        <f>IF(OR(Home!$D$7="",Home!$D$8="No"),"",IF(ISBLANK(HLOOKUP(Home!$D$7,$D$2:$F$102,ROW(A68),FALSE)),"",IF(H69="",HLOOKUP(Home!$D$7,$D$2:$F$102,ROW(A68),FALSE),IF(C69=FALSE,"C"))))</f>
        <v/>
      </c>
      <c r="C69" s="5" t="b">
        <v>1</v>
      </c>
      <c r="D69" s="15"/>
      <c r="E69" s="13"/>
      <c r="F69" s="15"/>
      <c r="G69" s="9" t="str">
        <f>IF($H$67='Drop Down'!$D$5,"7b. Please specify the payment terms that is stated in the contract with Emory.","")</f>
        <v/>
      </c>
      <c r="H69" s="37"/>
    </row>
    <row r="70" spans="2:8" ht="45.75" hidden="1" customHeight="1" x14ac:dyDescent="0.3">
      <c r="B70" s="5" t="str">
        <f>IF(OR(Home!$D$7="",Home!$D$8="No"),"",IF(ISBLANK(HLOOKUP(Home!$D$7,$D$2:$F$102,ROW(A69),FALSE)),"",IF(H70="",HLOOKUP(Home!$D$7,$D$2:$F$102,ROW(A69),FALSE),IF(C70=FALSE,"C"))))</f>
        <v/>
      </c>
      <c r="C70" s="5" t="b">
        <v>1</v>
      </c>
      <c r="D70" s="15"/>
      <c r="E70" s="13"/>
      <c r="F70" s="15"/>
      <c r="G70" s="9" t="str">
        <f>IF($H$67='Drop Down'!$D$5,"7c. When submitting this form, please validate you will submit a copy of the fully executed contract containing the payment term language.","")</f>
        <v/>
      </c>
      <c r="H70" s="37"/>
    </row>
    <row r="71" spans="2:8" hidden="1" x14ac:dyDescent="0.3">
      <c r="B71" s="5" t="str">
        <f>IF(OR(Home!$D$7="",Home!$D$8="No"),"",IF(ISBLANK(HLOOKUP(Home!$D$7,$D$2:$F$102,ROW(A70),FALSE)),"",IF(H71="",HLOOKUP(Home!$D$7,$D$2:$F$102,ROW(A70),FALSE),IF(C71=FALSE,"C"))))</f>
        <v/>
      </c>
      <c r="C71" s="5" t="b">
        <v>1</v>
      </c>
      <c r="D71" s="15"/>
      <c r="E71" s="13"/>
      <c r="F71" s="15"/>
      <c r="G71" s="9" t="str">
        <f>IF($H$67='Drop Down'!$D$5,"7d. Please indicate what page number within the fully executed contract, the payment terms can be found.","")</f>
        <v/>
      </c>
      <c r="H71" s="36"/>
    </row>
    <row r="72" spans="2:8" ht="75" customHeight="1" x14ac:dyDescent="0.3">
      <c r="B72" s="5" t="str">
        <f>IF(OR(Home!$D$7="",Home!$D$8="No"),"",IF(ISBLANK(HLOOKUP(Home!$D$7,$D$2:$F$102,ROW(A71),FALSE)),"",IF(H72="",HLOOKUP(Home!$D$7,$D$2:$F$102,ROW(A71),FALSE),IF(C72=FALSE,"C"))))</f>
        <v/>
      </c>
      <c r="C72" s="5" t="b">
        <v>1</v>
      </c>
      <c r="D72" s="15"/>
      <c r="E72" s="15"/>
      <c r="F72" s="15" t="s">
        <v>9</v>
      </c>
      <c r="G72" s="9" t="str">
        <f>IF(AND(Home!$D$7="Company",OR($H$67="",RIGHT($H$67,8)="Program.")),"",CONCATENATE("8. Do you want to be paid via ACH/Direct Deposit? If No is selected, payment will be remitted via check sent to the billing address provided above."," Please note that payments via check take significantly longer to process in comparision to ACH/Direct Deposit."))</f>
        <v>8. Do you want to be paid via ACH/Direct Deposit? If No is selected, payment will be remitted via check sent to the billing address provided above. Please note that payments via check take significantly longer to process in comparision to ACH/Direct Deposit.</v>
      </c>
      <c r="H72" s="25"/>
    </row>
    <row r="73" spans="2:8" ht="72" hidden="1" x14ac:dyDescent="0.3">
      <c r="B73" s="5" t="str">
        <f>IF(OR(Home!$D$7="",Home!$D$8="No"),"",IF(ISBLANK(HLOOKUP(Home!$D$7,$D$2:$F$102,ROW(A72),FALSE)),"",IF(H73="",HLOOKUP(Home!$D$7,$D$2:$F$102,ROW(A72),FALSE),IF(C73=FALSE,"C"))))</f>
        <v/>
      </c>
      <c r="C73" s="5" t="b">
        <v>1</v>
      </c>
      <c r="D73" s="15"/>
      <c r="E73" s="13"/>
      <c r="F73" s="15"/>
      <c r="G73" s="9" t="s">
        <v>72</v>
      </c>
      <c r="H73" s="25"/>
    </row>
    <row r="74" spans="2:8" ht="43.2" x14ac:dyDescent="0.3">
      <c r="B74" s="5" t="str">
        <f>IF(OR(Home!$D$7="",Home!$D$8="No"),"",IF(ISBLANK(HLOOKUP(Home!$D$7,$D$2:$F$102,ROW(A73),FALSE)),"",IF(H74="",HLOOKUP(Home!$D$7,$D$2:$F$102,ROW(A73),FALSE),IF(C74=FALSE,"C"))))</f>
        <v/>
      </c>
      <c r="C74" s="5" t="b">
        <v>1</v>
      </c>
      <c r="D74" s="15"/>
      <c r="E74" s="15"/>
      <c r="F74" s="15" t="s">
        <v>9</v>
      </c>
      <c r="G74" s="9" t="s">
        <v>73</v>
      </c>
      <c r="H74" s="25"/>
    </row>
    <row r="75" spans="2:8" ht="155.25" customHeight="1" x14ac:dyDescent="0.3">
      <c r="B75" s="5" t="str">
        <f>IF(OR(Home!$D$7="",Home!$D$8="No"),"",IF(ISBLANK(HLOOKUP(Home!$D$7,$D$2:$F$102,ROW(A74),FALSE)),"",IF(H75="",HLOOKUP(Home!$D$7,$D$2:$F$102,ROW(A74),FALSE),IF(C75=FALSE,"C"))))</f>
        <v/>
      </c>
      <c r="C75" s="1" t="b">
        <v>1</v>
      </c>
      <c r="D75" s="15"/>
      <c r="E75" s="15"/>
      <c r="F75" s="15" t="s">
        <v>9</v>
      </c>
      <c r="G75"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5" s="32"/>
    </row>
    <row r="76" spans="2:8" ht="19.5" customHeight="1" x14ac:dyDescent="0.3">
      <c r="B76" s="5" t="str">
        <f>IF(OR(Home!$D$7="",Home!$D$8="No"),"",IF(ISBLANK(HLOOKUP(Home!$D$7,$D$2:$F$102,ROW(A75),FALSE)),"",IF(H76="",HLOOKUP(Home!$D$7,$D$2:$F$102,ROW(A75),FALSE),IF(C76=FALSE,"C"))))</f>
        <v/>
      </c>
      <c r="C76" s="5" t="b">
        <v>1</v>
      </c>
      <c r="D76" s="15"/>
      <c r="E76" s="15"/>
      <c r="F76" s="15" t="s">
        <v>9</v>
      </c>
      <c r="G76" s="9" t="s">
        <v>25</v>
      </c>
      <c r="H76" s="27"/>
    </row>
    <row r="77" spans="2:8" ht="15" customHeight="1" x14ac:dyDescent="0.3">
      <c r="B77" s="5" t="str">
        <f>IF(OR(Home!$D$7="",Home!$D$8="No"),"",IF(ISBLANK(HLOOKUP(Home!$D$7,$D$2:$F$102,ROW(A76),FALSE)),"",IF(H77="",HLOOKUP(Home!$D$7,$D$2:$F$102,ROW(A76),FALSE),IF(C77=FALSE,"C"))))</f>
        <v/>
      </c>
      <c r="C77" s="5" t="b">
        <v>1</v>
      </c>
      <c r="D77" s="15"/>
      <c r="E77" s="15"/>
      <c r="F77" s="15" t="s">
        <v>8</v>
      </c>
      <c r="G77" s="48"/>
      <c r="H77" s="53"/>
    </row>
    <row r="78" spans="2:8" ht="25.8" x14ac:dyDescent="0.3">
      <c r="B78" s="5" t="str">
        <f>IF(OR(Home!$D$7="",Home!$D$8="No"),"",IF(ISBLANK(HLOOKUP(Home!$D$7,$D$2:$F$102,ROW(A77),FALSE)),"",IF(H78="",HLOOKUP(Home!$D$7,$D$2:$F$102,ROW(A77),FALSE),IF(C78=FALSE,"C"))))</f>
        <v/>
      </c>
      <c r="C78" s="1" t="b">
        <v>1</v>
      </c>
      <c r="D78" s="16"/>
      <c r="E78" s="16"/>
      <c r="F78" s="16" t="str">
        <f t="shared" ref="F78:F79" si="0">IF(COUNTIF($B$4:$B$7,"R")&gt;0,"",IF(OR($H$5="Yes",$H$72="Yes"),"Y",""))</f>
        <v/>
      </c>
      <c r="G78" s="56" t="s">
        <v>74</v>
      </c>
      <c r="H78" s="56"/>
    </row>
    <row r="79" spans="2:8" x14ac:dyDescent="0.3">
      <c r="B79" s="5" t="str">
        <f>IF(OR(Home!$D$7="",Home!$D$8="No"),"",IF(ISBLANK(HLOOKUP(Home!$D$7,$D$2:$F$102,ROW(A78),FALSE)),"",IF(H79="",HLOOKUP(Home!$D$7,$D$2:$F$102,ROW(A78),FALSE),IF(C79=FALSE,"C"))))</f>
        <v/>
      </c>
      <c r="C79" s="1" t="b">
        <v>1</v>
      </c>
      <c r="D79" s="16"/>
      <c r="E79" s="16"/>
      <c r="F79" s="16" t="str">
        <f t="shared" si="0"/>
        <v/>
      </c>
      <c r="G79" s="57" t="str">
        <f>Home!D7&amp;" Information"</f>
        <v xml:space="preserve"> Information</v>
      </c>
      <c r="H79" s="58"/>
    </row>
    <row r="80" spans="2:8" x14ac:dyDescent="0.3">
      <c r="B80" s="5" t="str">
        <f>IF(OR(Home!$D$7="",Home!$D$8="No"),"",IF(ISBLANK(HLOOKUP(Home!$D$7,$D$2:$F$102,ROW(A79),FALSE)),"",IF(H80="",HLOOKUP(Home!$D$7,$D$2:$F$102,ROW(A79),FALSE),IF(C80=FALSE,"C"))))</f>
        <v/>
      </c>
      <c r="C80" s="1" t="b">
        <v>1</v>
      </c>
      <c r="D80" s="16"/>
      <c r="E80" s="16"/>
      <c r="F80" s="16" t="str">
        <f>IF(COUNTIF($B$4:$B$7,"R")&gt;0,"",IF(OR($H$5="Yes",$H$72="Yes"),"R",""))</f>
        <v/>
      </c>
      <c r="G80" s="3" t="str">
        <f>Home!D7&amp;" Name:"</f>
        <v xml:space="preserve"> Name:</v>
      </c>
      <c r="H80" s="25"/>
    </row>
    <row r="81" spans="2:8" hidden="1" x14ac:dyDescent="0.3">
      <c r="B81" s="5" t="str">
        <f>IF(OR(Home!$D$7="",Home!$D$8="No"),"",IF(ISBLANK(HLOOKUP(Home!$D$7,$D$2:$F$102,ROW(A80),FALSE)),"",IF(H81="",HLOOKUP(Home!$D$7,$D$2:$F$102,ROW(A80),FALSE),IF(C81=FALSE,"C"))))</f>
        <v/>
      </c>
      <c r="C81" s="1" t="b">
        <v>1</v>
      </c>
      <c r="D81" s="16"/>
      <c r="E81" s="14"/>
      <c r="F81" s="14"/>
      <c r="G81" s="3" t="str">
        <f>Home!D7&amp;" Division Name:"</f>
        <v xml:space="preserve"> Division Name:</v>
      </c>
      <c r="H81" s="25"/>
    </row>
    <row r="82" spans="2:8" hidden="1" x14ac:dyDescent="0.3">
      <c r="B82" s="5" t="str">
        <f>IF(OR(Home!$D$7="",Home!$D$8="No"),"",IF(ISBLANK(HLOOKUP(Home!$D$7,$D$2:$F$102,ROW(A81),FALSE)),"",IF(H82="",HLOOKUP(Home!$D$7,$D$2:$F$102,ROW(A81),FALSE),IF(C82=FALSE,"C"))))</f>
        <v/>
      </c>
      <c r="C82" s="5" t="b">
        <f>ISNUMBER(H82+0)</f>
        <v>1</v>
      </c>
      <c r="D82" s="16"/>
      <c r="E82" s="13"/>
      <c r="F82" s="13"/>
      <c r="G82" s="9" t="s">
        <v>52</v>
      </c>
      <c r="H82" s="25"/>
    </row>
    <row r="83" spans="2:8" x14ac:dyDescent="0.3">
      <c r="B83" s="5" t="str">
        <f>IF(OR(Home!$D$7="",Home!$D$8="No"),"",IF(ISBLANK(HLOOKUP(Home!$D$7,$D$2:$F$102,ROW(A82),FALSE)),"",IF(H83="",HLOOKUP(Home!$D$7,$D$2:$F$102,ROW(A82),FALSE),IF(C83=FALSE,"C"))))</f>
        <v/>
      </c>
      <c r="C83" s="5" t="b">
        <f>ISNUMBER(H83+0)</f>
        <v>1</v>
      </c>
      <c r="D83" s="16"/>
      <c r="E83" s="16"/>
      <c r="F83" s="16" t="str">
        <f t="shared" ref="F83:F86" si="1">IF(COUNTIF($B$4:$B$7,"R")&gt;0,"",IF(OR($H$5="Yes",$H$72="Yes"),"R",""))</f>
        <v/>
      </c>
      <c r="G83" s="9" t="str">
        <f>IF(OR(Home!$D$7="Study Participant",Home!$D$7="Individual"),"Social Security Number (9 Digits):","Taxpayer Identification Number (9 Digits):")</f>
        <v>Taxpayer Identification Number (9 Digits):</v>
      </c>
      <c r="H83" s="25"/>
    </row>
    <row r="84" spans="2:8" x14ac:dyDescent="0.3">
      <c r="B84" s="5" t="str">
        <f>IF(OR(Home!$D$7="",Home!$D$8="No"),"",IF(ISBLANK(HLOOKUP(Home!$D$7,$D$2:$F$102,ROW(A83),FALSE)),"",IF(H84="",HLOOKUP(Home!$D$7,$D$2:$F$102,ROW(A83),FALSE),IF(C84=FALSE,"C"))))</f>
        <v/>
      </c>
      <c r="C84" s="5" t="b">
        <v>1</v>
      </c>
      <c r="D84" s="16"/>
      <c r="E84" s="16"/>
      <c r="F84" s="16" t="str">
        <f t="shared" si="1"/>
        <v/>
      </c>
      <c r="G84" s="3" t="str">
        <f>Home!D7&amp;" ACH Remittance Contact Name:"</f>
        <v xml:space="preserve"> ACH Remittance Contact Name:</v>
      </c>
      <c r="H84" s="25"/>
    </row>
    <row r="85" spans="2:8" x14ac:dyDescent="0.3">
      <c r="B85" s="5" t="str">
        <f>IF(OR(Home!$D$7="",Home!$D$8="No"),"",IF(ISBLANK(HLOOKUP(Home!$D$7,$D$2:$F$102,ROW(A84),FALSE)),"",IF(H85="",HLOOKUP(Home!$D$7,$D$2:$F$102,ROW(A84),FALSE),IF(C85=FALSE,"C"))))</f>
        <v/>
      </c>
      <c r="C85" s="5" t="b">
        <f>AND(ISNUMBER(H85+0),LEFT(H85,1)="1")</f>
        <v>0</v>
      </c>
      <c r="D85" s="16"/>
      <c r="E85" s="16"/>
      <c r="F85" s="16" t="str">
        <f t="shared" si="1"/>
        <v/>
      </c>
      <c r="G85" s="3" t="str">
        <f>Home!D7&amp;" ACH Remittance Contact Phone:"</f>
        <v xml:space="preserve"> ACH Remittance Contact Phone:</v>
      </c>
      <c r="H85" s="25"/>
    </row>
    <row r="86" spans="2:8" x14ac:dyDescent="0.3">
      <c r="B86" s="5" t="str">
        <f>IF(OR(Home!$D$7="",Home!$D$8="No"),"",IF(ISBLANK(HLOOKUP(Home!$D$7,$D$2:$F$102,ROW(A85),FALSE)),"",IF(H86="",HLOOKUP(Home!$D$7,$D$2:$F$102,ROW(A85),FALSE),IF(C86=FALSE,"C"))))</f>
        <v/>
      </c>
      <c r="C86" s="5" t="b">
        <f>IF(H86="",TRUE,ISNUMBER(FIND("@",H86,1)+FIND(".",H86,1)))</f>
        <v>1</v>
      </c>
      <c r="D86" s="16"/>
      <c r="E86" s="16"/>
      <c r="F86" s="16" t="str">
        <f t="shared" si="1"/>
        <v/>
      </c>
      <c r="G86" s="3" t="str">
        <f>Home!D7&amp;" ACH Remittance Email:"</f>
        <v xml:space="preserve"> ACH Remittance Email:</v>
      </c>
      <c r="H86" s="26"/>
    </row>
    <row r="87" spans="2:8" x14ac:dyDescent="0.3">
      <c r="B87" s="5" t="str">
        <f>IF(OR(Home!$D$7="",Home!$D$8="No"),"",IF(ISBLANK(HLOOKUP(Home!$D$7,$D$2:$F$102,ROW(A86),FALSE)),"",IF(H87="",HLOOKUP(Home!$D$7,$D$2:$F$102,ROW(A86),FALSE),IF(C87=FALSE,"C"))))</f>
        <v/>
      </c>
      <c r="C87" s="1" t="b">
        <v>1</v>
      </c>
      <c r="D87" s="16"/>
      <c r="E87" s="16"/>
      <c r="F87" s="16" t="str">
        <f>IF(COUNTIF($B$4:$B$7,"R")&gt;0,"",IF(OR($H$5="Yes",$H$72="Yes"),"Y",""))</f>
        <v/>
      </c>
      <c r="G87" s="57" t="str">
        <f>Home!D7&amp;" Remittance Address"</f>
        <v xml:space="preserve"> Remittance Address</v>
      </c>
      <c r="H87" s="58"/>
    </row>
    <row r="88" spans="2:8" x14ac:dyDescent="0.3">
      <c r="B88" s="5" t="str">
        <f>IF(OR(Home!$D$7="",Home!$D$8="No"),"",IF(ISBLANK(HLOOKUP(Home!$D$7,$D$2:$F$102,ROW(A87),FALSE)),"",IF(H88="",HLOOKUP(Home!$D$7,$D$2:$F$102,ROW(A87),FALSE),IF(C88=FALSE,"C"))))</f>
        <v/>
      </c>
      <c r="C88" s="5" t="b">
        <v>1</v>
      </c>
      <c r="D88" s="16"/>
      <c r="E88" s="16"/>
      <c r="F88" s="16" t="str">
        <f>IF(COUNTIF($B$4:$B$7,"R")&gt;0,"",IF(OR($H$5="Yes",$H$72="Yes"),"R",""))</f>
        <v/>
      </c>
      <c r="G88" s="3" t="str">
        <f>Home!D7&amp;" Remittance Address Line 1:"</f>
        <v xml:space="preserve"> Remittance Address Line 1:</v>
      </c>
      <c r="H88" s="25"/>
    </row>
    <row r="89" spans="2:8" x14ac:dyDescent="0.3">
      <c r="B89" s="5" t="str">
        <f>IF(OR(Home!$D$7="",Home!$D$8="No"),"",IF(ISBLANK(HLOOKUP(Home!$D$7,$D$2:$F$102,ROW(A88),FALSE)),"",IF(H89="",HLOOKUP(Home!$D$7,$D$2:$F$102,ROW(A88),FALSE),IF(C89=FALSE,"C"))))</f>
        <v/>
      </c>
      <c r="C89" s="5" t="b">
        <v>1</v>
      </c>
      <c r="D89" s="16"/>
      <c r="E89" s="16"/>
      <c r="F89" s="16" t="str">
        <f>IF(COUNTIF($B$4:$B$7,"R")&gt;0,"",IF(OR($H$5="Yes",$H$72="Yes"),"Y",""))</f>
        <v/>
      </c>
      <c r="G89" s="3" t="str">
        <f>Home!D7&amp;" Remittance Address Line 2:"</f>
        <v xml:space="preserve"> Remittance Address Line 2:</v>
      </c>
      <c r="H89" s="25"/>
    </row>
    <row r="90" spans="2:8" x14ac:dyDescent="0.3">
      <c r="B90" s="5" t="str">
        <f>IF(OR(Home!$D$7="",Home!$D$8="No"),"",IF(ISBLANK(HLOOKUP(Home!$D$7,$D$2:$F$102,ROW(A89),FALSE)),"",IF(H90="",HLOOKUP(Home!$D$7,$D$2:$F$102,ROW(A89),FALSE),IF(C90=FALSE,"C"))))</f>
        <v/>
      </c>
      <c r="C90" s="5" t="b">
        <v>1</v>
      </c>
      <c r="D90" s="16"/>
      <c r="E90" s="16"/>
      <c r="F90" s="16" t="str">
        <f t="shared" ref="F90:F92" si="2">IF(COUNTIF($B$4:$B$7,"R")&gt;0,"",IF(OR($H$5="Yes",$H$72="Yes"),"R",""))</f>
        <v/>
      </c>
      <c r="G90" s="3" t="s">
        <v>57</v>
      </c>
      <c r="H90" s="25"/>
    </row>
    <row r="91" spans="2:8" x14ac:dyDescent="0.3">
      <c r="B91" s="5" t="str">
        <f>IF(OR(Home!$D$7="",Home!$D$8="No"),"",IF(ISBLANK(HLOOKUP(Home!$D$7,$D$2:$F$102,ROW(A90),FALSE)),"",IF(H91="",HLOOKUP(Home!$D$7,$D$2:$F$102,ROW(A90),FALSE),IF(C91=FALSE,"C"))))</f>
        <v/>
      </c>
      <c r="C91" s="5" t="b">
        <v>1</v>
      </c>
      <c r="D91" s="16"/>
      <c r="E91" s="16"/>
      <c r="F91" s="16" t="str">
        <f t="shared" si="2"/>
        <v/>
      </c>
      <c r="G91" s="3" t="s">
        <v>58</v>
      </c>
      <c r="H91" s="25"/>
    </row>
    <row r="92" spans="2:8" x14ac:dyDescent="0.3">
      <c r="B92" s="5" t="str">
        <f>IF(OR(Home!$D$7="",Home!$D$8="No"),"",IF(ISBLANK(HLOOKUP(Home!$D$7,$D$2:$F$102,ROW(A91),FALSE)),"",IF(H92="",HLOOKUP(Home!$D$7,$D$2:$F$102,ROW(A91),FALSE),IF(C92=FALSE,"C"))))</f>
        <v/>
      </c>
      <c r="C92" s="5" t="b">
        <v>1</v>
      </c>
      <c r="D92" s="16"/>
      <c r="E92" s="16"/>
      <c r="F92" s="16" t="str">
        <f t="shared" si="2"/>
        <v/>
      </c>
      <c r="G92" s="3" t="s">
        <v>75</v>
      </c>
      <c r="H92" s="25"/>
    </row>
    <row r="93" spans="2:8" x14ac:dyDescent="0.3">
      <c r="B93" s="5" t="str">
        <f>IF(OR(Home!$D$7="",Home!$D$8="No"),"",IF(ISBLANK(HLOOKUP(Home!$D$7,$D$2:$F$102,ROW(A92),FALSE)),"",IF(H93="",HLOOKUP(Home!$D$7,$D$2:$F$102,ROW(A92),FALSE),IF(C93=FALSE,"C"))))</f>
        <v/>
      </c>
      <c r="C93" s="1" t="b">
        <v>1</v>
      </c>
      <c r="D93" s="16"/>
      <c r="E93" s="16"/>
      <c r="F93" s="16" t="str">
        <f>IF(COUNTIF($B$4:$B$7,"R")&gt;0,"",IF(OR($H$5="Yes",$H$72="Yes"),"Y",""))</f>
        <v/>
      </c>
      <c r="G93" s="57" t="s">
        <v>32</v>
      </c>
      <c r="H93" s="58"/>
    </row>
    <row r="94" spans="2:8" x14ac:dyDescent="0.3">
      <c r="B94" s="5" t="str">
        <f>IF(OR(Home!$D$7="",Home!$D$8="No"),"",IF(ISBLANK(HLOOKUP(Home!$D$7,$D$2:$F$102,ROW(A93),FALSE)),"",IF(H94="",HLOOKUP(Home!$D$7,$D$2:$F$102,ROW(A93),FALSE),IF(C94=FALSE,"C"))))</f>
        <v/>
      </c>
      <c r="C94" s="1" t="b">
        <v>1</v>
      </c>
      <c r="D94" s="16"/>
      <c r="E94" s="16"/>
      <c r="F94" s="16" t="str">
        <f t="shared" ref="F94:F96" si="3">IF(COUNTIF($B$4:$B$7,"R")&gt;0,"",IF(OR($H$5="Yes",$H$72="Yes"),"R",""))</f>
        <v/>
      </c>
      <c r="G94" s="3" t="s">
        <v>76</v>
      </c>
      <c r="H94" s="25"/>
    </row>
    <row r="95" spans="2:8" x14ac:dyDescent="0.3">
      <c r="B95" s="5" t="str">
        <f>IF(OR(Home!$D$7="",Home!$D$8="No"),"",IF(ISBLANK(HLOOKUP(Home!$D$7,$D$2:$F$102,ROW(A94),FALSE)),"",IF(H95="",HLOOKUP(Home!$D$7,$D$2:$F$102,ROW(A94),FALSE),IF(C95=FALSE,"C"))))</f>
        <v/>
      </c>
      <c r="C95" s="5" t="b">
        <f>ISNUMBER(H95+0)</f>
        <v>1</v>
      </c>
      <c r="D95" s="16"/>
      <c r="E95" s="16"/>
      <c r="F95" s="16" t="str">
        <f t="shared" si="3"/>
        <v/>
      </c>
      <c r="G95" s="3" t="s">
        <v>77</v>
      </c>
      <c r="H95" s="25"/>
    </row>
    <row r="96" spans="2:8" x14ac:dyDescent="0.3">
      <c r="B96" s="5" t="str">
        <f>IF(OR(Home!$D$7="",Home!$D$8="No"),"",IF(ISBLANK(HLOOKUP(Home!$D$7,$D$2:$F$102,ROW(A95),FALSE)),"",IF(H96="",HLOOKUP(Home!$D$7,$D$2:$F$102,ROW(A95),FALSE),IF(C96=FALSE,"C"))))</f>
        <v/>
      </c>
      <c r="C96" s="5" t="b">
        <f>ISNUMBER(H96+0)</f>
        <v>1</v>
      </c>
      <c r="D96" s="16"/>
      <c r="E96" s="16"/>
      <c r="F96" s="16" t="str">
        <f t="shared" si="3"/>
        <v/>
      </c>
      <c r="G96" s="3" t="s">
        <v>78</v>
      </c>
      <c r="H96" s="25"/>
    </row>
    <row r="97" spans="2:8" x14ac:dyDescent="0.3">
      <c r="B97" s="5" t="str">
        <f>IF(OR(Home!$D$7="",Home!$D$8="No"),"",IF(ISBLANK(HLOOKUP(Home!$D$7,$D$2:$F$102,ROW(A96),FALSE)),"",IF(H97="",HLOOKUP(Home!$D$7,$D$2:$F$102,ROW(A96),FALSE),IF(C97=FALSE,"C"))))</f>
        <v/>
      </c>
      <c r="C97" s="1" t="b">
        <v>1</v>
      </c>
      <c r="D97" s="16"/>
      <c r="E97" s="16"/>
      <c r="F97" s="16" t="str">
        <f t="shared" ref="F97:F98" si="4">IF(COUNTIF($B$4:$B$7,"R")&gt;0,"",IF(OR($H$5="Yes",$H$72="Yes"),"Y",""))</f>
        <v/>
      </c>
      <c r="G97" s="57" t="str">
        <f>Home!D7&amp;" Authorization"</f>
        <v xml:space="preserve"> Authorization</v>
      </c>
      <c r="H97" s="58"/>
    </row>
    <row r="98" spans="2:8" x14ac:dyDescent="0.3">
      <c r="B98" s="5" t="str">
        <f>IF(OR(Home!$D$7="",Home!$D$8="No"),"",IF(ISBLANK(HLOOKUP(Home!$D$7,$D$2:$F$102,ROW(A97),FALSE)),"",IF(H98="",HLOOKUP(Home!$D$7,$D$2:$F$102,ROW(A97),FALSE),IF(C98=FALSE,"C"))))</f>
        <v/>
      </c>
      <c r="C98" s="1" t="b">
        <v>1</v>
      </c>
      <c r="D98" s="16"/>
      <c r="E98" s="16"/>
      <c r="F98" s="16" t="str">
        <f t="shared" si="4"/>
        <v/>
      </c>
      <c r="G98" s="54" t="s">
        <v>43</v>
      </c>
      <c r="H98" s="55"/>
    </row>
    <row r="99" spans="2:8" ht="152.25" customHeight="1" x14ac:dyDescent="0.3">
      <c r="B99" s="5" t="str">
        <f>IF(OR(Home!$D$7="",Home!$D$8="No"),"",IF(ISBLANK(HLOOKUP(Home!$D$7,$D$2:$F$102,ROW(A98),FALSE)),"",IF(H99="",HLOOKUP(Home!$D$7,$D$2:$F$102,ROW(A98),FALSE),IF(C99=FALSE,"C"))))</f>
        <v/>
      </c>
      <c r="C99" s="1" t="b">
        <v>1</v>
      </c>
      <c r="D99" s="16"/>
      <c r="E99" s="16"/>
      <c r="F99" s="16" t="str">
        <f t="shared" ref="F99:F100" si="5">IF(COUNTIF($B$4:$B$7,"R")&gt;0,"",IF(OR($H$5="Yes",$H$72="Yes"),"R",""))</f>
        <v/>
      </c>
      <c r="G99"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99" s="32"/>
    </row>
    <row r="100" spans="2:8" x14ac:dyDescent="0.3">
      <c r="B100" s="5" t="str">
        <f>IF(OR(Home!$D$7="",Home!$D$8="No"),"",IF(ISBLANK(HLOOKUP(Home!$D$7,$D$2:$F$102,ROW(A99),FALSE)),"",IF(H100="",HLOOKUP(Home!$D$7,$D$2:$F$102,ROW(A99),FALSE),IF(C100=FALSE,"C"))))</f>
        <v/>
      </c>
      <c r="C100" s="1" t="b">
        <v>1</v>
      </c>
      <c r="D100" s="16"/>
      <c r="E100" s="16"/>
      <c r="F100" s="16" t="str">
        <f t="shared" si="5"/>
        <v/>
      </c>
      <c r="G100" s="3" t="s">
        <v>25</v>
      </c>
      <c r="H100" s="27"/>
    </row>
    <row r="101" spans="2:8" hidden="1" x14ac:dyDescent="0.3">
      <c r="B101" s="5" t="str">
        <f>IF(OR(Home!$D$7="",Home!$D$8="No"),"",IF(ISBLANK(HLOOKUP(Home!$D$7,$D$2:$F$102,ROW(A100),FALSE)),"",IF(H101="",HLOOKUP(Home!$D$7,$D$2:$F$102,ROW(A100),FALSE),IF(C101=FALSE,"C"))))</f>
        <v/>
      </c>
      <c r="C101" s="1" t="b">
        <v>1</v>
      </c>
      <c r="D101" s="16"/>
      <c r="E101" s="14"/>
      <c r="F101" s="14"/>
      <c r="G101" s="3" t="s">
        <v>44</v>
      </c>
      <c r="H101" s="25"/>
    </row>
    <row r="102" spans="2:8" hidden="1" x14ac:dyDescent="0.3">
      <c r="B102" s="5" t="str">
        <f>IF(OR(Home!$D$7="",Home!$D$8="No"),"",IF(ISBLANK(HLOOKUP(Home!$D$7,$D$2:$F$102,ROW(A101),FALSE)),"",IF(H102="",HLOOKUP(Home!$D$7,$D$2:$F$102,ROW(A101),FALSE),IF(C102=FALSE,"C"))))</f>
        <v/>
      </c>
      <c r="C102" s="5" t="b">
        <f>AND(ISNUMBER(H102+0),LEFT(H102,1)="1")</f>
        <v>0</v>
      </c>
      <c r="D102" s="16"/>
      <c r="E102" s="14"/>
      <c r="F102" s="14"/>
      <c r="G102" s="3" t="s">
        <v>79</v>
      </c>
      <c r="H102" s="25"/>
    </row>
  </sheetData>
  <sheetProtection algorithmName="SHA-512" hashValue="aUsSMA0ku0rzA3TZkaG+MgdWXQDfb5GLq1ZrLWow9VX6wXlpk1NXbzAOIoKUvsePlaQCoJkd8m+GEvztVTrqfA==" saltValue="pFc9VTM5SYu2b16HuFzmgA==" spinCount="100000" sheet="1" formatRows="0" selectLockedCells="1"/>
  <autoFilter ref="B2:F102">
    <filterColumn colId="4">
      <customFilters>
        <customFilter operator="notEqual" val=" "/>
      </customFilters>
    </filterColumn>
  </autoFilter>
  <mergeCells count="16">
    <mergeCell ref="G37:H37"/>
    <mergeCell ref="G2:H2"/>
    <mergeCell ref="G3:H3"/>
    <mergeCell ref="G8:H8"/>
    <mergeCell ref="G9:H9"/>
    <mergeCell ref="G29:H29"/>
    <mergeCell ref="G87:H87"/>
    <mergeCell ref="G93:H93"/>
    <mergeCell ref="G97:H97"/>
    <mergeCell ref="G98:H98"/>
    <mergeCell ref="G48:H48"/>
    <mergeCell ref="G57:H57"/>
    <mergeCell ref="G58:H58"/>
    <mergeCell ref="G77:H77"/>
    <mergeCell ref="G78:H78"/>
    <mergeCell ref="G79:H79"/>
  </mergeCells>
  <conditionalFormatting sqref="G2:H70 G72:H102">
    <cfRule type="expression" dxfId="16" priority="13">
      <formula>$B2=""</formula>
    </cfRule>
  </conditionalFormatting>
  <conditionalFormatting sqref="J2">
    <cfRule type="expression" dxfId="15" priority="14">
      <formula>$B2=""</formula>
    </cfRule>
  </conditionalFormatting>
  <conditionalFormatting sqref="G2:H2">
    <cfRule type="expression" dxfId="14" priority="17">
      <formula>LEFT($G$2,9)="Completed"</formula>
    </cfRule>
  </conditionalFormatting>
  <conditionalFormatting sqref="G69:H69">
    <cfRule type="expression" dxfId="13" priority="10">
      <formula>$B69=""</formula>
    </cfRule>
  </conditionalFormatting>
  <conditionalFormatting sqref="H69">
    <cfRule type="expression" dxfId="12" priority="11">
      <formula>$B69="C"</formula>
    </cfRule>
    <cfRule type="expression" dxfId="11" priority="12">
      <formula>$B69="R"</formula>
    </cfRule>
  </conditionalFormatting>
  <conditionalFormatting sqref="G70:H70">
    <cfRule type="expression" dxfId="10" priority="7">
      <formula>$B70=""</formula>
    </cfRule>
  </conditionalFormatting>
  <conditionalFormatting sqref="H70">
    <cfRule type="expression" dxfId="9" priority="8">
      <formula>$B70="C"</formula>
    </cfRule>
    <cfRule type="expression" dxfId="8" priority="9">
      <formula>$B70="R"</formula>
    </cfRule>
  </conditionalFormatting>
  <conditionalFormatting sqref="H3:H70 H72:H102">
    <cfRule type="expression" dxfId="7" priority="15">
      <formula>$B3="C"</formula>
    </cfRule>
    <cfRule type="expression" dxfId="6" priority="16">
      <formula>$B3="R"</formula>
    </cfRule>
  </conditionalFormatting>
  <conditionalFormatting sqref="G71:H71">
    <cfRule type="expression" dxfId="5" priority="4">
      <formula>$B71=""</formula>
    </cfRule>
  </conditionalFormatting>
  <conditionalFormatting sqref="G71:H71">
    <cfRule type="expression" dxfId="4" priority="1">
      <formula>$B71=""</formula>
    </cfRule>
  </conditionalFormatting>
  <conditionalFormatting sqref="H71">
    <cfRule type="expression" dxfId="3" priority="2">
      <formula>$B71="C"</formula>
    </cfRule>
    <cfRule type="expression" dxfId="2" priority="3">
      <formula>$B71="R"</formula>
    </cfRule>
  </conditionalFormatting>
  <conditionalFormatting sqref="H71">
    <cfRule type="expression" dxfId="1" priority="5">
      <formula>$B71="C"</formula>
    </cfRule>
    <cfRule type="expression" dxfId="0" priority="6">
      <formula>$B71="R"</formula>
    </cfRule>
  </conditionalFormatting>
  <dataValidations count="16">
    <dataValidation type="list" allowBlank="1" showInputMessage="1" showErrorMessage="1" sqref="H74 H72 H41 H49 H4:H6 H59:H64">
      <formula1>"Yes,No"</formula1>
    </dataValidation>
    <dataValidation type="list" allowBlank="1" showInputMessage="1" showErrorMessage="1" sqref="H38">
      <formula1>"Email (Plain Text Format),Email (HTML Format),Fax"</formula1>
    </dataValidation>
    <dataValidation type="list" allowBlank="1" showInputMessage="1" showErrorMessage="1" sqref="H16">
      <formula1>"Employer Identification Number (EIN),Social Security Number (SSN)"</formula1>
    </dataValidation>
    <dataValidation type="list" allowBlank="1" showInputMessage="1" showErrorMessage="1" sqref="H19">
      <formula1>"C Corporation, S Corporation, Partnership"</formula1>
    </dataValidation>
    <dataValidation type="list" allowBlank="1" showInputMessage="1" showErrorMessage="1" sqref="H18">
      <formula1>"Sole Proprietor or Single Member LLC, C Corporation, S Corporation, Partnership, Trust/Estate, Limited Liability Company (LLC),Government,Non-Profit"</formula1>
    </dataValidation>
    <dataValidation type="textLength" allowBlank="1" showInputMessage="1" showErrorMessage="1" promptTitle="Phone Number" prompt="Requires 11 digits with no special characters and the first digit must start with the number 1." sqref="H14 H35 H47 H55 H85 H102">
      <formula1>11</formula1>
      <formula2>11</formula2>
    </dataValidation>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 sqref="H12 H82">
      <formula1>9</formula1>
      <formula2>9</formula2>
    </dataValidation>
    <dataValidation type="textLength" allowBlank="1" showInputMessage="1" showErrorMessage="1" promptTitle="TIN Number" prompt="This field requires 9 digits without any special characters._x000a__x000a_Example of Acceptable Format: _x000a_272786963_x000a__x000a_Example of Unacceptable Format: _x000a_272-78-6963" sqref="H17 H83">
      <formula1>9</formula1>
      <formula2>9</formula2>
    </dataValidation>
    <dataValidation type="textLength" allowBlank="1" showInputMessage="1" showErrorMessage="1" promptTitle="Fax Number" prompt="Requires 11 digits with no special characters and the first digit must start with the number 1." sqref="H40">
      <formula1>11</formula1>
      <formula2>11</formula2>
    </dataValidation>
    <dataValidation type="textLength" allowBlank="1" showInputMessage="1" showErrorMessage="1" promptTitle="Routing Number" prompt="This field requires 9 digits without any special characters." sqref="H95">
      <formula1>9</formula1>
      <formula2>9</formula2>
    </dataValidation>
    <dataValidation type="list" allowBlank="1" showInputMessage="1" showErrorMessage="1" sqref="H5">
      <formula1>"New,Update"</formula1>
    </dataValidation>
    <dataValidation type="list" allowBlank="1" showInputMessage="1" showErrorMessage="1" sqref="H73">
      <formula1>"My company is already registered with SAM,My company plans to regiser with SAM,My company does not plan to regiser with SAM"</formula1>
    </dataValidation>
    <dataValidation type="list" allowBlank="1" showInputMessage="1" showErrorMessage="1" sqref="H20">
      <formula1>"No,Yes - Small and Diverse,Yes - Small Only,Yes - Diverse Only"</formula1>
    </dataValidation>
    <dataValidation type="list" allowBlank="1" showInputMessage="1" showErrorMessage="1" sqref="H21:H28">
      <formula1>"No,Yes - Certified,Yes - Self-Identified"</formula1>
    </dataValidation>
    <dataValidation type="whole" allowBlank="1" showInputMessage="1" showErrorMessage="1" sqref="H71">
      <formula1>0</formula1>
      <formula2>100000</formula2>
    </dataValidation>
    <dataValidation type="list" allowBlank="1" showInputMessage="1" showErrorMessage="1" sqref="H70">
      <formula1>"I understand"</formula1>
    </dataValidation>
  </dataValidations>
  <pageMargins left="0.7" right="0.7" top="0.75" bottom="0.75" header="0.3" footer="0.3"/>
  <pageSetup scale="4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Down'!$D$2:$D$7</xm:f>
          </x14:formula1>
          <xm:sqref>H67</xm:sqref>
        </x14:dataValidation>
        <x14:dataValidation type="list" allowBlank="1" showInputMessage="1" showErrorMessage="1">
          <x14:formula1>
            <xm:f>'Drop Down'!$B$2:$B$53</xm:f>
          </x14:formula1>
          <xm:sqref>H45 H33 H53 H91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49"/>
  <sheetViews>
    <sheetView showGridLines="0" workbookViewId="0"/>
  </sheetViews>
  <sheetFormatPr defaultColWidth="9.109375" defaultRowHeight="14.4" x14ac:dyDescent="0.3"/>
  <cols>
    <col min="1" max="1" width="9.109375" style="1"/>
    <col min="2" max="2" width="9.109375" style="4" hidden="1" customWidth="1"/>
    <col min="3" max="3" width="3.5546875" style="1" hidden="1" customWidth="1"/>
    <col min="4" max="4" width="37.33203125" style="2" hidden="1" customWidth="1"/>
    <col min="5" max="5" width="3.44140625" style="1" hidden="1" customWidth="1"/>
    <col min="6" max="6" width="42.5546875" style="1" hidden="1" customWidth="1"/>
    <col min="7" max="7" width="11.5546875" style="1" hidden="1" customWidth="1"/>
    <col min="8" max="8" width="2.6640625" style="1" hidden="1" customWidth="1"/>
    <col min="9" max="9" width="46.44140625" style="1" hidden="1" customWidth="1"/>
    <col min="10" max="10" width="11.5546875" style="1" hidden="1" customWidth="1"/>
    <col min="11" max="11" width="36" style="1" hidden="1" customWidth="1"/>
    <col min="12" max="12" width="44.33203125" style="1" hidden="1" customWidth="1"/>
    <col min="13" max="13" width="9.109375" style="1" hidden="1" customWidth="1"/>
    <col min="14" max="14" width="19.33203125" style="1" hidden="1" customWidth="1"/>
    <col min="15" max="15" width="5.5546875" style="1" hidden="1" customWidth="1"/>
    <col min="16" max="16" width="75.44140625" style="1" hidden="1" customWidth="1"/>
    <col min="17" max="17" width="4.44140625" style="1" hidden="1" customWidth="1"/>
    <col min="18" max="18" width="22.44140625" style="1" hidden="1" customWidth="1"/>
    <col min="19" max="19" width="5.6640625" style="1" hidden="1" customWidth="1"/>
    <col min="20" max="20" width="7.5546875" style="1" hidden="1" customWidth="1"/>
    <col min="21" max="21" width="31.5546875" style="1" hidden="1" customWidth="1"/>
    <col min="22" max="23" width="9.109375" style="1" hidden="1" customWidth="1"/>
    <col min="24" max="16384" width="9.109375" style="1"/>
  </cols>
  <sheetData>
    <row r="1" spans="2:21" s="19" customFormat="1" x14ac:dyDescent="0.3">
      <c r="B1" s="20" t="s">
        <v>81</v>
      </c>
      <c r="D1" s="21" t="s">
        <v>82</v>
      </c>
      <c r="F1" s="19" t="s">
        <v>83</v>
      </c>
      <c r="G1" s="19" t="s">
        <v>84</v>
      </c>
      <c r="I1" s="19" t="s">
        <v>85</v>
      </c>
      <c r="N1" s="19" t="s">
        <v>86</v>
      </c>
      <c r="R1" s="19" t="s">
        <v>87</v>
      </c>
      <c r="S1" s="19" t="s">
        <v>88</v>
      </c>
      <c r="T1" s="19" t="s">
        <v>89</v>
      </c>
      <c r="U1" s="19" t="s">
        <v>90</v>
      </c>
    </row>
    <row r="2" spans="2:21" ht="43.2" x14ac:dyDescent="0.3">
      <c r="B2" s="4" t="s">
        <v>91</v>
      </c>
      <c r="D2" s="2" t="s">
        <v>92</v>
      </c>
      <c r="F2" s="1" t="s">
        <v>93</v>
      </c>
      <c r="I2" s="1" t="s">
        <v>94</v>
      </c>
      <c r="J2" s="1" t="s">
        <v>95</v>
      </c>
      <c r="K2" s="1" t="s">
        <v>96</v>
      </c>
      <c r="L2" s="1" t="s">
        <v>90</v>
      </c>
      <c r="N2" s="1" t="s">
        <v>97</v>
      </c>
      <c r="O2" s="1" t="s">
        <v>98</v>
      </c>
      <c r="P2" s="1" t="s">
        <v>99</v>
      </c>
      <c r="R2" s="1" t="s">
        <v>100</v>
      </c>
      <c r="S2" s="1" t="s">
        <v>101</v>
      </c>
      <c r="T2" s="1" t="s">
        <v>102</v>
      </c>
      <c r="U2" s="1" t="s">
        <v>103</v>
      </c>
    </row>
    <row r="3" spans="2:21" ht="43.2" x14ac:dyDescent="0.3">
      <c r="B3" s="4" t="s">
        <v>104</v>
      </c>
      <c r="D3" s="2" t="s">
        <v>105</v>
      </c>
      <c r="F3" s="1" t="s">
        <v>106</v>
      </c>
      <c r="I3" s="1" t="s">
        <v>106</v>
      </c>
      <c r="J3" s="1">
        <v>28</v>
      </c>
      <c r="K3" s="1" t="s">
        <v>107</v>
      </c>
      <c r="L3" s="2" t="s">
        <v>108</v>
      </c>
      <c r="N3" s="1" t="s">
        <v>109</v>
      </c>
      <c r="O3" s="1" t="s">
        <v>110</v>
      </c>
      <c r="P3" s="2" t="s">
        <v>111</v>
      </c>
      <c r="R3" s="1" t="s">
        <v>112</v>
      </c>
      <c r="S3" s="1" t="s">
        <v>113</v>
      </c>
      <c r="T3" s="1" t="s">
        <v>114</v>
      </c>
      <c r="U3" s="1" t="s">
        <v>115</v>
      </c>
    </row>
    <row r="4" spans="2:21" ht="28.8" x14ac:dyDescent="0.3">
      <c r="B4" s="4" t="s">
        <v>116</v>
      </c>
      <c r="D4" s="2" t="s">
        <v>117</v>
      </c>
      <c r="F4" s="1" t="s">
        <v>118</v>
      </c>
      <c r="I4" s="1" t="s">
        <v>119</v>
      </c>
      <c r="J4" s="1">
        <v>24</v>
      </c>
      <c r="K4" s="1" t="s">
        <v>120</v>
      </c>
      <c r="L4" s="2" t="str">
        <f>"IBAN Length Must be "&amp;J4&amp;" Characters."&amp;CHAR(10)&amp;"An IBAN example is "&amp;K4</f>
        <v>IBAN Length Must be 24 Characters.
An IBAN example is AD1200012030200359100100</v>
      </c>
      <c r="N4" s="1" t="s">
        <v>121</v>
      </c>
      <c r="O4" s="1" t="s">
        <v>122</v>
      </c>
      <c r="P4" s="1" t="s">
        <v>123</v>
      </c>
      <c r="R4" s="1" t="s">
        <v>124</v>
      </c>
      <c r="S4" s="1" t="s">
        <v>125</v>
      </c>
      <c r="T4" s="1" t="s">
        <v>126</v>
      </c>
      <c r="U4" s="1" t="s">
        <v>127</v>
      </c>
    </row>
    <row r="5" spans="2:21" ht="28.8" x14ac:dyDescent="0.3">
      <c r="B5" s="4" t="s">
        <v>128</v>
      </c>
      <c r="D5" s="2" t="s">
        <v>129</v>
      </c>
      <c r="F5" s="1" t="s">
        <v>130</v>
      </c>
      <c r="G5" s="1" t="s">
        <v>8</v>
      </c>
      <c r="I5" s="1" t="s">
        <v>131</v>
      </c>
      <c r="J5" s="1">
        <v>20</v>
      </c>
      <c r="K5" s="1" t="s">
        <v>132</v>
      </c>
      <c r="L5" s="2" t="s">
        <v>133</v>
      </c>
      <c r="N5" s="1" t="s">
        <v>134</v>
      </c>
      <c r="O5" s="1" t="s">
        <v>135</v>
      </c>
      <c r="P5" s="1" t="s">
        <v>136</v>
      </c>
      <c r="R5" s="1" t="s">
        <v>137</v>
      </c>
      <c r="S5" s="1" t="s">
        <v>138</v>
      </c>
      <c r="T5" s="1" t="s">
        <v>139</v>
      </c>
      <c r="U5" s="1" t="s">
        <v>140</v>
      </c>
    </row>
    <row r="6" spans="2:21" ht="43.2" x14ac:dyDescent="0.3">
      <c r="B6" s="4" t="s">
        <v>141</v>
      </c>
      <c r="F6" s="1" t="s">
        <v>119</v>
      </c>
      <c r="I6" s="1" t="s">
        <v>142</v>
      </c>
      <c r="J6" s="1">
        <v>28</v>
      </c>
      <c r="K6" s="1" t="s">
        <v>143</v>
      </c>
      <c r="L6" s="2" t="s">
        <v>144</v>
      </c>
      <c r="N6" s="1" t="s">
        <v>145</v>
      </c>
      <c r="O6" s="1" t="s">
        <v>146</v>
      </c>
      <c r="P6" s="1" t="s">
        <v>147</v>
      </c>
      <c r="R6" s="1" t="s">
        <v>148</v>
      </c>
      <c r="S6" s="1" t="s">
        <v>149</v>
      </c>
      <c r="T6" s="1" t="s">
        <v>102</v>
      </c>
      <c r="U6" s="1" t="s">
        <v>150</v>
      </c>
    </row>
    <row r="7" spans="2:21" ht="28.8" x14ac:dyDescent="0.3">
      <c r="B7" s="4" t="s">
        <v>151</v>
      </c>
      <c r="F7" s="1" t="s">
        <v>152</v>
      </c>
      <c r="I7" s="1" t="s">
        <v>153</v>
      </c>
      <c r="J7" s="1">
        <v>22</v>
      </c>
      <c r="K7" s="1" t="s">
        <v>154</v>
      </c>
      <c r="L7" s="2" t="s">
        <v>155</v>
      </c>
      <c r="N7" s="1" t="s">
        <v>156</v>
      </c>
      <c r="O7" s="1" t="s">
        <v>157</v>
      </c>
      <c r="P7" s="2" t="s">
        <v>158</v>
      </c>
      <c r="R7" s="1" t="s">
        <v>159</v>
      </c>
      <c r="S7" s="1" t="s">
        <v>98</v>
      </c>
      <c r="T7" s="1" t="s">
        <v>102</v>
      </c>
      <c r="U7" s="1" t="s">
        <v>160</v>
      </c>
    </row>
    <row r="8" spans="2:21" ht="43.2" x14ac:dyDescent="0.3">
      <c r="B8" s="4" t="s">
        <v>161</v>
      </c>
      <c r="F8" s="1" t="s">
        <v>162</v>
      </c>
      <c r="I8" s="1" t="s">
        <v>163</v>
      </c>
      <c r="J8" s="1">
        <v>28</v>
      </c>
      <c r="K8" s="1" t="s">
        <v>164</v>
      </c>
      <c r="L8" s="2" t="s">
        <v>165</v>
      </c>
      <c r="N8" s="1" t="s">
        <v>166</v>
      </c>
      <c r="O8" s="1" t="s">
        <v>167</v>
      </c>
      <c r="P8" s="2" t="s">
        <v>168</v>
      </c>
      <c r="R8" s="1" t="s">
        <v>169</v>
      </c>
      <c r="S8" s="1" t="s">
        <v>170</v>
      </c>
      <c r="T8" s="1" t="s">
        <v>171</v>
      </c>
      <c r="U8" s="1" t="s">
        <v>172</v>
      </c>
    </row>
    <row r="9" spans="2:21" ht="43.2" x14ac:dyDescent="0.3">
      <c r="B9" s="4" t="s">
        <v>173</v>
      </c>
      <c r="F9" s="1" t="s">
        <v>174</v>
      </c>
      <c r="I9" s="1" t="s">
        <v>175</v>
      </c>
      <c r="J9" s="1">
        <v>16</v>
      </c>
      <c r="K9" s="1" t="s">
        <v>176</v>
      </c>
      <c r="L9" s="2" t="s">
        <v>177</v>
      </c>
      <c r="N9" s="1" t="s">
        <v>178</v>
      </c>
      <c r="P9" s="2" t="s">
        <v>179</v>
      </c>
      <c r="R9" s="1" t="s">
        <v>180</v>
      </c>
      <c r="S9" s="1" t="s">
        <v>181</v>
      </c>
      <c r="T9" s="1" t="s">
        <v>181</v>
      </c>
      <c r="U9" s="1" t="s">
        <v>182</v>
      </c>
    </row>
    <row r="10" spans="2:21" ht="28.8" x14ac:dyDescent="0.3">
      <c r="B10" s="4" t="s">
        <v>183</v>
      </c>
      <c r="F10" s="1" t="s">
        <v>184</v>
      </c>
      <c r="I10" s="1" t="s">
        <v>185</v>
      </c>
      <c r="J10" s="1">
        <v>20</v>
      </c>
      <c r="K10" s="1" t="s">
        <v>186</v>
      </c>
      <c r="L10" s="2" t="s">
        <v>187</v>
      </c>
      <c r="N10" s="1" t="s">
        <v>188</v>
      </c>
      <c r="O10" s="1" t="s">
        <v>189</v>
      </c>
      <c r="P10" s="2" t="s">
        <v>190</v>
      </c>
      <c r="R10" s="1" t="s">
        <v>191</v>
      </c>
      <c r="S10" s="1" t="s">
        <v>192</v>
      </c>
      <c r="T10" s="1" t="s">
        <v>193</v>
      </c>
      <c r="U10" s="1" t="s">
        <v>194</v>
      </c>
    </row>
    <row r="11" spans="2:21" ht="43.2" x14ac:dyDescent="0.3">
      <c r="B11" s="4" t="s">
        <v>195</v>
      </c>
      <c r="F11" s="1" t="s">
        <v>196</v>
      </c>
      <c r="I11" s="1" t="s">
        <v>109</v>
      </c>
      <c r="J11" s="1">
        <v>29</v>
      </c>
      <c r="K11" s="1" t="s">
        <v>197</v>
      </c>
      <c r="L11" s="2" t="s">
        <v>198</v>
      </c>
      <c r="N11" s="18" t="s">
        <v>199</v>
      </c>
      <c r="O11" s="1" t="s">
        <v>200</v>
      </c>
      <c r="P11" s="1" t="s">
        <v>201</v>
      </c>
      <c r="R11" s="1" t="s">
        <v>202</v>
      </c>
      <c r="S11" s="1" t="s">
        <v>203</v>
      </c>
      <c r="T11" s="1" t="s">
        <v>204</v>
      </c>
      <c r="U11" s="1" t="s">
        <v>205</v>
      </c>
    </row>
    <row r="12" spans="2:21" ht="28.8" x14ac:dyDescent="0.3">
      <c r="B12" s="4" t="s">
        <v>206</v>
      </c>
      <c r="F12" s="1" t="s">
        <v>207</v>
      </c>
      <c r="I12" s="1" t="s">
        <v>208</v>
      </c>
      <c r="J12" s="1">
        <v>22</v>
      </c>
      <c r="K12" s="1" t="s">
        <v>209</v>
      </c>
      <c r="L12" s="2" t="s">
        <v>210</v>
      </c>
      <c r="N12" s="1" t="s">
        <v>211</v>
      </c>
      <c r="O12" s="1" t="s">
        <v>212</v>
      </c>
      <c r="P12" s="1" t="s">
        <v>213</v>
      </c>
      <c r="R12" s="1" t="s">
        <v>214</v>
      </c>
      <c r="S12" s="1" t="s">
        <v>215</v>
      </c>
      <c r="T12" s="1" t="s">
        <v>216</v>
      </c>
      <c r="U12" s="1" t="s">
        <v>217</v>
      </c>
    </row>
    <row r="13" spans="2:21" ht="28.8" x14ac:dyDescent="0.3">
      <c r="B13" s="4" t="s">
        <v>218</v>
      </c>
      <c r="F13" s="1" t="s">
        <v>219</v>
      </c>
      <c r="I13" s="1" t="s">
        <v>220</v>
      </c>
      <c r="J13" s="1">
        <v>21</v>
      </c>
      <c r="K13" s="1" t="s">
        <v>221</v>
      </c>
      <c r="L13" s="2" t="s">
        <v>222</v>
      </c>
      <c r="N13" s="1" t="s">
        <v>223</v>
      </c>
      <c r="O13" s="1" t="s">
        <v>224</v>
      </c>
      <c r="P13" s="2" t="s">
        <v>225</v>
      </c>
      <c r="R13" s="1" t="s">
        <v>226</v>
      </c>
      <c r="S13" s="1" t="s">
        <v>227</v>
      </c>
      <c r="T13" s="1" t="s">
        <v>228</v>
      </c>
      <c r="U13" s="1" t="s">
        <v>229</v>
      </c>
    </row>
    <row r="14" spans="2:21" ht="28.8" x14ac:dyDescent="0.3">
      <c r="B14" s="4" t="s">
        <v>230</v>
      </c>
      <c r="F14" s="1" t="s">
        <v>97</v>
      </c>
      <c r="I14" s="1" t="s">
        <v>231</v>
      </c>
      <c r="J14" s="1">
        <v>21</v>
      </c>
      <c r="K14" s="1" t="s">
        <v>232</v>
      </c>
      <c r="L14" s="2" t="s">
        <v>233</v>
      </c>
      <c r="N14" s="1" t="s">
        <v>234</v>
      </c>
      <c r="O14" s="1" t="s">
        <v>235</v>
      </c>
      <c r="P14" s="1" t="s">
        <v>236</v>
      </c>
      <c r="R14" s="1" t="s">
        <v>237</v>
      </c>
      <c r="S14" s="1" t="s">
        <v>238</v>
      </c>
      <c r="T14" s="1" t="s">
        <v>239</v>
      </c>
      <c r="U14" s="1" t="s">
        <v>240</v>
      </c>
    </row>
    <row r="15" spans="2:21" ht="43.2" x14ac:dyDescent="0.3">
      <c r="B15" s="4" t="s">
        <v>241</v>
      </c>
      <c r="F15" s="1" t="s">
        <v>131</v>
      </c>
      <c r="I15" s="1" t="s">
        <v>242</v>
      </c>
      <c r="J15" s="1">
        <v>28</v>
      </c>
      <c r="K15" s="1" t="s">
        <v>243</v>
      </c>
      <c r="L15" s="2" t="s">
        <v>244</v>
      </c>
      <c r="N15" s="1" t="s">
        <v>245</v>
      </c>
      <c r="O15" s="1" t="s">
        <v>246</v>
      </c>
      <c r="P15" s="1" t="s">
        <v>247</v>
      </c>
      <c r="R15" s="1" t="s">
        <v>248</v>
      </c>
      <c r="S15" s="1" t="s">
        <v>249</v>
      </c>
      <c r="T15" s="1" t="s">
        <v>250</v>
      </c>
      <c r="U15" s="1" t="s">
        <v>251</v>
      </c>
    </row>
    <row r="16" spans="2:21" ht="28.8" x14ac:dyDescent="0.3">
      <c r="B16" s="4" t="s">
        <v>252</v>
      </c>
      <c r="F16" s="1" t="s">
        <v>142</v>
      </c>
      <c r="I16" s="1" t="s">
        <v>253</v>
      </c>
      <c r="J16" s="1">
        <v>24</v>
      </c>
      <c r="K16" s="1" t="s">
        <v>254</v>
      </c>
      <c r="L16" s="2" t="s">
        <v>255</v>
      </c>
      <c r="N16" s="1" t="s">
        <v>256</v>
      </c>
      <c r="O16" s="1" t="s">
        <v>257</v>
      </c>
      <c r="P16" s="2" t="s">
        <v>258</v>
      </c>
      <c r="R16" s="1" t="s">
        <v>259</v>
      </c>
      <c r="S16" s="1" t="s">
        <v>260</v>
      </c>
      <c r="T16" s="1" t="s">
        <v>261</v>
      </c>
      <c r="U16" s="1" t="s">
        <v>262</v>
      </c>
    </row>
    <row r="17" spans="2:21" ht="28.8" x14ac:dyDescent="0.3">
      <c r="B17" s="4" t="s">
        <v>263</v>
      </c>
      <c r="F17" s="1" t="s">
        <v>264</v>
      </c>
      <c r="I17" s="1" t="s">
        <v>265</v>
      </c>
      <c r="J17" s="1">
        <v>18</v>
      </c>
      <c r="K17" s="1" t="s">
        <v>266</v>
      </c>
      <c r="L17" s="2" t="s">
        <v>267</v>
      </c>
      <c r="R17" s="1" t="s">
        <v>268</v>
      </c>
      <c r="S17" s="1" t="s">
        <v>110</v>
      </c>
      <c r="T17" s="1" t="s">
        <v>269</v>
      </c>
      <c r="U17" s="1" t="s">
        <v>270</v>
      </c>
    </row>
    <row r="18" spans="2:21" ht="43.2" x14ac:dyDescent="0.3">
      <c r="B18" s="4" t="s">
        <v>271</v>
      </c>
      <c r="F18" s="1" t="s">
        <v>153</v>
      </c>
      <c r="I18" s="1" t="s">
        <v>272</v>
      </c>
      <c r="J18" s="1">
        <v>28</v>
      </c>
      <c r="K18" s="1" t="s">
        <v>273</v>
      </c>
      <c r="L18" s="2" t="s">
        <v>274</v>
      </c>
      <c r="R18" s="1" t="s">
        <v>275</v>
      </c>
      <c r="S18" s="1" t="s">
        <v>276</v>
      </c>
      <c r="T18" s="1" t="s">
        <v>250</v>
      </c>
      <c r="U18" s="1" t="s">
        <v>277</v>
      </c>
    </row>
    <row r="19" spans="2:21" ht="28.8" x14ac:dyDescent="0.3">
      <c r="B19" s="4" t="s">
        <v>278</v>
      </c>
      <c r="F19" s="1" t="s">
        <v>279</v>
      </c>
      <c r="I19" s="1" t="s">
        <v>280</v>
      </c>
      <c r="J19" s="1">
        <v>20</v>
      </c>
      <c r="K19" s="1" t="s">
        <v>281</v>
      </c>
      <c r="L19" s="2" t="s">
        <v>282</v>
      </c>
      <c r="R19" s="1" t="s">
        <v>283</v>
      </c>
      <c r="S19" s="1" t="s">
        <v>284</v>
      </c>
      <c r="T19" s="1" t="s">
        <v>285</v>
      </c>
      <c r="U19" s="1" t="s">
        <v>286</v>
      </c>
    </row>
    <row r="20" spans="2:21" ht="28.8" x14ac:dyDescent="0.3">
      <c r="B20" s="4" t="s">
        <v>287</v>
      </c>
      <c r="F20" s="1" t="s">
        <v>288</v>
      </c>
      <c r="I20" s="1" t="s">
        <v>289</v>
      </c>
      <c r="J20" s="1">
        <v>18</v>
      </c>
      <c r="K20" s="1" t="s">
        <v>290</v>
      </c>
      <c r="L20" s="2" t="s">
        <v>291</v>
      </c>
      <c r="R20" s="1" t="s">
        <v>292</v>
      </c>
      <c r="S20" s="1" t="s">
        <v>293</v>
      </c>
      <c r="T20" s="1" t="s">
        <v>294</v>
      </c>
      <c r="U20" s="1" t="s">
        <v>295</v>
      </c>
    </row>
    <row r="21" spans="2:21" ht="28.8" x14ac:dyDescent="0.3">
      <c r="B21" s="4" t="s">
        <v>296</v>
      </c>
      <c r="F21" s="1" t="s">
        <v>163</v>
      </c>
      <c r="I21" s="1" t="s">
        <v>297</v>
      </c>
      <c r="J21" s="1">
        <v>18</v>
      </c>
      <c r="K21" s="1" t="s">
        <v>298</v>
      </c>
      <c r="L21" s="2" t="s">
        <v>299</v>
      </c>
      <c r="R21" s="1" t="s">
        <v>300</v>
      </c>
      <c r="S21" s="1" t="s">
        <v>301</v>
      </c>
      <c r="T21" s="1" t="s">
        <v>302</v>
      </c>
      <c r="U21" s="1" t="s">
        <v>303</v>
      </c>
    </row>
    <row r="22" spans="2:21" ht="43.2" x14ac:dyDescent="0.3">
      <c r="B22" s="4" t="s">
        <v>304</v>
      </c>
      <c r="F22" s="1" t="s">
        <v>175</v>
      </c>
      <c r="I22" s="1" t="s">
        <v>305</v>
      </c>
      <c r="J22" s="1">
        <v>27</v>
      </c>
      <c r="K22" s="1" t="s">
        <v>306</v>
      </c>
      <c r="L22" s="2" t="s">
        <v>307</v>
      </c>
      <c r="R22" s="1" t="s">
        <v>308</v>
      </c>
      <c r="S22" s="1" t="s">
        <v>309</v>
      </c>
      <c r="T22" s="1" t="s">
        <v>310</v>
      </c>
      <c r="U22" s="1" t="s">
        <v>311</v>
      </c>
    </row>
    <row r="23" spans="2:21" ht="28.8" x14ac:dyDescent="0.3">
      <c r="B23" s="4" t="s">
        <v>312</v>
      </c>
      <c r="F23" s="1" t="s">
        <v>313</v>
      </c>
      <c r="I23" s="1" t="s">
        <v>314</v>
      </c>
      <c r="J23" s="1">
        <v>22</v>
      </c>
      <c r="K23" s="1" t="s">
        <v>315</v>
      </c>
      <c r="L23" s="2" t="s">
        <v>316</v>
      </c>
      <c r="R23" s="1" t="s">
        <v>317</v>
      </c>
      <c r="S23" s="1" t="s">
        <v>318</v>
      </c>
      <c r="T23" s="1" t="s">
        <v>319</v>
      </c>
      <c r="U23" s="1" t="s">
        <v>320</v>
      </c>
    </row>
    <row r="24" spans="2:21" ht="28.8" x14ac:dyDescent="0.3">
      <c r="B24" s="4" t="s">
        <v>321</v>
      </c>
      <c r="F24" s="1" t="s">
        <v>322</v>
      </c>
      <c r="I24" s="1" t="s">
        <v>323</v>
      </c>
      <c r="J24" s="1">
        <v>22</v>
      </c>
      <c r="K24" s="1" t="s">
        <v>324</v>
      </c>
      <c r="L24" s="2" t="s">
        <v>325</v>
      </c>
      <c r="R24" s="1" t="s">
        <v>326</v>
      </c>
      <c r="S24" s="1" t="s">
        <v>327</v>
      </c>
      <c r="T24" s="1" t="s">
        <v>327</v>
      </c>
      <c r="U24" s="1" t="s">
        <v>328</v>
      </c>
    </row>
    <row r="25" spans="2:21" ht="28.8" x14ac:dyDescent="0.3">
      <c r="B25" s="4" t="s">
        <v>329</v>
      </c>
      <c r="F25" s="1" t="s">
        <v>330</v>
      </c>
      <c r="I25" s="1" t="s">
        <v>331</v>
      </c>
      <c r="J25" s="1">
        <v>23</v>
      </c>
      <c r="K25" s="1" t="s">
        <v>332</v>
      </c>
      <c r="L25" s="2" t="s">
        <v>333</v>
      </c>
      <c r="R25" s="1" t="s">
        <v>334</v>
      </c>
      <c r="S25" s="1" t="s">
        <v>335</v>
      </c>
      <c r="T25" s="1" t="s">
        <v>102</v>
      </c>
      <c r="U25" s="1" t="s">
        <v>336</v>
      </c>
    </row>
    <row r="26" spans="2:21" ht="43.2" x14ac:dyDescent="0.3">
      <c r="B26" s="4" t="s">
        <v>337</v>
      </c>
      <c r="F26" s="1" t="s">
        <v>338</v>
      </c>
      <c r="I26" s="1" t="s">
        <v>339</v>
      </c>
      <c r="J26" s="1">
        <v>27</v>
      </c>
      <c r="K26" s="1" t="s">
        <v>340</v>
      </c>
      <c r="L26" s="2" t="s">
        <v>341</v>
      </c>
      <c r="R26" s="1" t="s">
        <v>342</v>
      </c>
      <c r="S26" s="1" t="s">
        <v>343</v>
      </c>
      <c r="T26" s="1" t="s">
        <v>344</v>
      </c>
      <c r="U26" s="1" t="s">
        <v>345</v>
      </c>
    </row>
    <row r="27" spans="2:21" ht="28.8" x14ac:dyDescent="0.3">
      <c r="B27" s="4" t="s">
        <v>346</v>
      </c>
      <c r="F27" s="1" t="s">
        <v>347</v>
      </c>
      <c r="I27" s="1" t="s">
        <v>348</v>
      </c>
      <c r="J27" s="1">
        <v>18</v>
      </c>
      <c r="K27" s="1" t="s">
        <v>349</v>
      </c>
      <c r="L27" s="2" t="s">
        <v>350</v>
      </c>
      <c r="R27" s="1" t="s">
        <v>351</v>
      </c>
      <c r="S27" s="1" t="s">
        <v>352</v>
      </c>
      <c r="T27" s="1" t="s">
        <v>102</v>
      </c>
      <c r="U27" s="1" t="s">
        <v>353</v>
      </c>
    </row>
    <row r="28" spans="2:21" ht="43.2" x14ac:dyDescent="0.3">
      <c r="B28" s="4" t="s">
        <v>354</v>
      </c>
      <c r="F28" s="1" t="s">
        <v>185</v>
      </c>
      <c r="I28" s="1" t="s">
        <v>145</v>
      </c>
      <c r="J28" s="1">
        <v>28</v>
      </c>
      <c r="K28" s="1" t="s">
        <v>355</v>
      </c>
      <c r="L28" s="2" t="s">
        <v>356</v>
      </c>
      <c r="R28" s="1" t="s">
        <v>357</v>
      </c>
      <c r="S28" s="1" t="s">
        <v>358</v>
      </c>
      <c r="T28" s="1" t="s">
        <v>359</v>
      </c>
      <c r="U28" s="1" t="s">
        <v>360</v>
      </c>
    </row>
    <row r="29" spans="2:21" ht="28.8" x14ac:dyDescent="0.3">
      <c r="B29" s="4" t="s">
        <v>361</v>
      </c>
      <c r="F29" s="1" t="s">
        <v>362</v>
      </c>
      <c r="I29" s="1" t="s">
        <v>363</v>
      </c>
      <c r="J29" s="1">
        <v>22</v>
      </c>
      <c r="K29" s="1" t="s">
        <v>364</v>
      </c>
      <c r="L29" s="2" t="s">
        <v>365</v>
      </c>
      <c r="R29" s="1" t="s">
        <v>366</v>
      </c>
      <c r="S29" s="1" t="s">
        <v>367</v>
      </c>
      <c r="T29" s="1" t="s">
        <v>368</v>
      </c>
      <c r="U29" s="1" t="s">
        <v>369</v>
      </c>
    </row>
    <row r="30" spans="2:21" ht="28.8" x14ac:dyDescent="0.3">
      <c r="B30" s="4" t="s">
        <v>370</v>
      </c>
      <c r="F30" s="1" t="s">
        <v>371</v>
      </c>
      <c r="I30" s="1" t="s">
        <v>372</v>
      </c>
      <c r="J30" s="1">
        <v>22</v>
      </c>
      <c r="K30" s="1" t="s">
        <v>373</v>
      </c>
      <c r="L30" s="2" t="s">
        <v>374</v>
      </c>
      <c r="R30" s="1" t="s">
        <v>375</v>
      </c>
      <c r="S30" s="1" t="s">
        <v>376</v>
      </c>
      <c r="T30" s="1" t="s">
        <v>377</v>
      </c>
      <c r="U30" s="1" t="s">
        <v>378</v>
      </c>
    </row>
    <row r="31" spans="2:21" ht="43.2" x14ac:dyDescent="0.3">
      <c r="B31" s="4" t="s">
        <v>379</v>
      </c>
      <c r="F31" s="1" t="s">
        <v>109</v>
      </c>
      <c r="I31" s="1" t="s">
        <v>380</v>
      </c>
      <c r="J31" s="1">
        <v>28</v>
      </c>
      <c r="K31" s="1" t="s">
        <v>381</v>
      </c>
      <c r="L31" s="2" t="s">
        <v>382</v>
      </c>
      <c r="R31" s="1" t="s">
        <v>383</v>
      </c>
      <c r="S31" s="1" t="s">
        <v>384</v>
      </c>
      <c r="T31" s="1" t="s">
        <v>385</v>
      </c>
      <c r="U31" s="1" t="s">
        <v>386</v>
      </c>
    </row>
    <row r="32" spans="2:21" ht="28.8" x14ac:dyDescent="0.3">
      <c r="B32" s="4" t="s">
        <v>387</v>
      </c>
      <c r="F32" s="1" t="s">
        <v>388</v>
      </c>
      <c r="I32" s="1" t="s">
        <v>389</v>
      </c>
      <c r="J32" s="1">
        <v>26</v>
      </c>
      <c r="K32" s="1" t="s">
        <v>390</v>
      </c>
      <c r="L32" s="2" t="s">
        <v>391</v>
      </c>
      <c r="R32" s="1" t="s">
        <v>392</v>
      </c>
      <c r="S32" s="1" t="s">
        <v>393</v>
      </c>
      <c r="T32" s="1" t="s">
        <v>394</v>
      </c>
      <c r="U32" s="1" t="s">
        <v>395</v>
      </c>
    </row>
    <row r="33" spans="2:21" ht="28.8" x14ac:dyDescent="0.3">
      <c r="B33" s="4" t="s">
        <v>396</v>
      </c>
      <c r="F33" s="1" t="s">
        <v>397</v>
      </c>
      <c r="I33" s="1" t="s">
        <v>398</v>
      </c>
      <c r="J33" s="1">
        <v>26</v>
      </c>
      <c r="K33" s="1" t="s">
        <v>399</v>
      </c>
      <c r="L33" s="2" t="s">
        <v>400</v>
      </c>
      <c r="R33" s="1" t="s">
        <v>401</v>
      </c>
      <c r="S33" s="1" t="s">
        <v>402</v>
      </c>
      <c r="T33" s="1" t="s">
        <v>403</v>
      </c>
      <c r="U33" s="1" t="s">
        <v>404</v>
      </c>
    </row>
    <row r="34" spans="2:21" ht="28.8" x14ac:dyDescent="0.3">
      <c r="B34" s="4" t="s">
        <v>405</v>
      </c>
      <c r="F34" s="1" t="s">
        <v>406</v>
      </c>
      <c r="I34" s="1" t="s">
        <v>407</v>
      </c>
      <c r="J34" s="1">
        <v>23</v>
      </c>
      <c r="K34" s="1" t="s">
        <v>408</v>
      </c>
      <c r="L34" s="2" t="s">
        <v>409</v>
      </c>
      <c r="R34" s="1" t="s">
        <v>410</v>
      </c>
      <c r="S34" s="1" t="s">
        <v>411</v>
      </c>
      <c r="T34" s="1" t="s">
        <v>412</v>
      </c>
      <c r="U34" s="1" t="s">
        <v>413</v>
      </c>
    </row>
    <row r="35" spans="2:21" ht="28.8" x14ac:dyDescent="0.3">
      <c r="B35" s="4" t="s">
        <v>414</v>
      </c>
      <c r="F35" s="1" t="s">
        <v>208</v>
      </c>
      <c r="I35" s="1" t="s">
        <v>415</v>
      </c>
      <c r="J35" s="1">
        <v>22</v>
      </c>
      <c r="K35" s="1" t="s">
        <v>416</v>
      </c>
      <c r="L35" s="2" t="s">
        <v>417</v>
      </c>
      <c r="R35" s="1" t="s">
        <v>418</v>
      </c>
      <c r="S35" s="1" t="s">
        <v>419</v>
      </c>
      <c r="T35" s="1" t="s">
        <v>420</v>
      </c>
      <c r="U35" s="1" t="s">
        <v>421</v>
      </c>
    </row>
    <row r="36" spans="2:21" ht="43.2" x14ac:dyDescent="0.3">
      <c r="B36" s="4" t="s">
        <v>422</v>
      </c>
      <c r="F36" s="1" t="s">
        <v>423</v>
      </c>
      <c r="I36" s="1" t="s">
        <v>424</v>
      </c>
      <c r="J36" s="1">
        <v>22</v>
      </c>
      <c r="K36" s="1" t="s">
        <v>364</v>
      </c>
      <c r="L36" s="2" t="s">
        <v>425</v>
      </c>
      <c r="R36" s="1" t="s">
        <v>426</v>
      </c>
      <c r="S36" s="1" t="s">
        <v>427</v>
      </c>
      <c r="T36" s="1" t="s">
        <v>427</v>
      </c>
      <c r="U36" s="1" t="s">
        <v>428</v>
      </c>
    </row>
    <row r="37" spans="2:21" ht="28.8" x14ac:dyDescent="0.3">
      <c r="B37" s="4" t="s">
        <v>429</v>
      </c>
      <c r="F37" s="1" t="s">
        <v>430</v>
      </c>
      <c r="I37" s="1" t="s">
        <v>166</v>
      </c>
      <c r="J37" s="1">
        <v>23</v>
      </c>
      <c r="K37" s="1" t="s">
        <v>431</v>
      </c>
      <c r="L37" s="2" t="s">
        <v>432</v>
      </c>
      <c r="R37" s="1" t="s">
        <v>433</v>
      </c>
      <c r="S37" s="1" t="s">
        <v>434</v>
      </c>
      <c r="T37" s="1" t="s">
        <v>435</v>
      </c>
      <c r="U37" s="1" t="s">
        <v>436</v>
      </c>
    </row>
    <row r="38" spans="2:21" ht="43.2" x14ac:dyDescent="0.3">
      <c r="B38" s="4" t="s">
        <v>437</v>
      </c>
      <c r="F38" s="1" t="s">
        <v>438</v>
      </c>
      <c r="I38" s="1" t="s">
        <v>439</v>
      </c>
      <c r="J38" s="1">
        <v>27</v>
      </c>
      <c r="K38" s="1" t="s">
        <v>440</v>
      </c>
      <c r="L38" s="2" t="s">
        <v>441</v>
      </c>
      <c r="R38" s="1" t="s">
        <v>442</v>
      </c>
      <c r="S38" s="1" t="s">
        <v>443</v>
      </c>
      <c r="T38" s="1" t="s">
        <v>302</v>
      </c>
      <c r="U38" s="1" t="s">
        <v>444</v>
      </c>
    </row>
    <row r="39" spans="2:21" ht="43.2" x14ac:dyDescent="0.3">
      <c r="B39" s="4" t="s">
        <v>445</v>
      </c>
      <c r="F39" s="1" t="s">
        <v>446</v>
      </c>
      <c r="I39" s="1" t="s">
        <v>447</v>
      </c>
      <c r="J39" s="1">
        <v>22</v>
      </c>
      <c r="K39" s="1" t="s">
        <v>364</v>
      </c>
      <c r="L39" s="2" t="s">
        <v>448</v>
      </c>
      <c r="R39" s="1" t="s">
        <v>449</v>
      </c>
      <c r="S39" s="1" t="s">
        <v>450</v>
      </c>
      <c r="T39" s="1" t="s">
        <v>451</v>
      </c>
      <c r="U39" s="1" t="s">
        <v>452</v>
      </c>
    </row>
    <row r="40" spans="2:21" ht="43.2" x14ac:dyDescent="0.3">
      <c r="B40" s="4" t="s">
        <v>453</v>
      </c>
      <c r="F40" s="1" t="s">
        <v>454</v>
      </c>
      <c r="I40" s="1" t="s">
        <v>455</v>
      </c>
      <c r="J40" s="1">
        <v>30</v>
      </c>
      <c r="K40" s="1" t="s">
        <v>456</v>
      </c>
      <c r="L40" s="2" t="s">
        <v>457</v>
      </c>
      <c r="R40" s="1" t="s">
        <v>458</v>
      </c>
      <c r="S40" s="1" t="s">
        <v>459</v>
      </c>
      <c r="T40" s="1" t="s">
        <v>460</v>
      </c>
      <c r="U40" s="1" t="s">
        <v>461</v>
      </c>
    </row>
    <row r="41" spans="2:21" ht="28.8" x14ac:dyDescent="0.3">
      <c r="B41" s="4" t="s">
        <v>462</v>
      </c>
      <c r="F41" s="1" t="s">
        <v>134</v>
      </c>
      <c r="I41" s="1" t="s">
        <v>463</v>
      </c>
      <c r="J41" s="1">
        <v>20</v>
      </c>
      <c r="K41" s="1" t="s">
        <v>464</v>
      </c>
      <c r="L41" s="2" t="s">
        <v>465</v>
      </c>
      <c r="R41" s="1" t="s">
        <v>466</v>
      </c>
      <c r="S41" s="1" t="s">
        <v>467</v>
      </c>
      <c r="T41" s="1" t="s">
        <v>468</v>
      </c>
      <c r="U41" s="1" t="s">
        <v>469</v>
      </c>
    </row>
    <row r="42" spans="2:21" ht="28.8" x14ac:dyDescent="0.3">
      <c r="B42" s="4" t="s">
        <v>470</v>
      </c>
      <c r="F42" s="1" t="s">
        <v>471</v>
      </c>
      <c r="I42" s="1" t="s">
        <v>463</v>
      </c>
      <c r="J42" s="1">
        <v>20</v>
      </c>
      <c r="K42" s="1" t="s">
        <v>472</v>
      </c>
      <c r="L42" s="2" t="s">
        <v>473</v>
      </c>
      <c r="R42" s="1" t="s">
        <v>474</v>
      </c>
      <c r="S42" s="1" t="s">
        <v>122</v>
      </c>
      <c r="T42" s="1" t="s">
        <v>468</v>
      </c>
      <c r="U42" s="1" t="s">
        <v>475</v>
      </c>
    </row>
    <row r="43" spans="2:21" ht="28.8" x14ac:dyDescent="0.3">
      <c r="B43" s="4" t="s">
        <v>476</v>
      </c>
      <c r="F43" s="1" t="s">
        <v>477</v>
      </c>
      <c r="I43" s="1" t="s">
        <v>478</v>
      </c>
      <c r="J43" s="1">
        <v>20</v>
      </c>
      <c r="K43" s="1" t="s">
        <v>479</v>
      </c>
      <c r="L43" s="2" t="s">
        <v>480</v>
      </c>
      <c r="R43" s="1" t="s">
        <v>481</v>
      </c>
      <c r="S43" s="1" t="s">
        <v>482</v>
      </c>
      <c r="T43" s="1" t="s">
        <v>482</v>
      </c>
      <c r="U43" s="1" t="s">
        <v>483</v>
      </c>
    </row>
    <row r="44" spans="2:21" ht="43.2" x14ac:dyDescent="0.3">
      <c r="B44" s="4" t="s">
        <v>484</v>
      </c>
      <c r="F44" s="1" t="s">
        <v>485</v>
      </c>
      <c r="I44" s="1" t="s">
        <v>486</v>
      </c>
      <c r="J44" s="1">
        <v>30</v>
      </c>
      <c r="K44" s="1" t="s">
        <v>487</v>
      </c>
      <c r="L44" s="2" t="s">
        <v>488</v>
      </c>
      <c r="R44" s="1" t="s">
        <v>489</v>
      </c>
      <c r="S44" s="1" t="s">
        <v>490</v>
      </c>
      <c r="T44" s="1" t="s">
        <v>491</v>
      </c>
      <c r="U44" s="1" t="s">
        <v>492</v>
      </c>
    </row>
    <row r="45" spans="2:21" ht="43.2" x14ac:dyDescent="0.3">
      <c r="B45" s="4" t="s">
        <v>493</v>
      </c>
      <c r="F45" s="1" t="s">
        <v>494</v>
      </c>
      <c r="I45" s="1" t="s">
        <v>486</v>
      </c>
      <c r="J45" s="1">
        <v>30</v>
      </c>
      <c r="K45" s="1" t="s">
        <v>487</v>
      </c>
      <c r="L45" s="2" t="s">
        <v>488</v>
      </c>
      <c r="R45" s="1" t="s">
        <v>495</v>
      </c>
      <c r="S45" s="1" t="s">
        <v>496</v>
      </c>
      <c r="T45" s="1" t="s">
        <v>497</v>
      </c>
      <c r="U45" s="1" t="s">
        <v>498</v>
      </c>
    </row>
    <row r="46" spans="2:21" ht="28.8" x14ac:dyDescent="0.3">
      <c r="B46" s="4" t="s">
        <v>499</v>
      </c>
      <c r="F46" s="1" t="s">
        <v>500</v>
      </c>
      <c r="I46" s="1" t="s">
        <v>501</v>
      </c>
      <c r="J46" s="1">
        <v>21</v>
      </c>
      <c r="K46" s="1" t="s">
        <v>502</v>
      </c>
      <c r="L46" s="2" t="s">
        <v>503</v>
      </c>
      <c r="R46" s="1" t="s">
        <v>504</v>
      </c>
      <c r="S46" s="1" t="s">
        <v>146</v>
      </c>
      <c r="T46" s="1" t="s">
        <v>505</v>
      </c>
      <c r="U46" s="1" t="s">
        <v>506</v>
      </c>
    </row>
    <row r="47" spans="2:21" ht="43.2" x14ac:dyDescent="0.3">
      <c r="B47" s="4" t="s">
        <v>507</v>
      </c>
      <c r="F47" s="1" t="s">
        <v>508</v>
      </c>
      <c r="I47" s="1" t="s">
        <v>509</v>
      </c>
      <c r="J47" s="1">
        <v>28</v>
      </c>
      <c r="K47" s="1" t="s">
        <v>510</v>
      </c>
      <c r="L47" s="2" t="s">
        <v>511</v>
      </c>
      <c r="R47" s="1" t="s">
        <v>512</v>
      </c>
      <c r="S47" s="1" t="s">
        <v>513</v>
      </c>
      <c r="T47" s="1" t="s">
        <v>514</v>
      </c>
      <c r="U47" s="1" t="s">
        <v>515</v>
      </c>
    </row>
    <row r="48" spans="2:21" ht="28.8" x14ac:dyDescent="0.3">
      <c r="B48" s="4" t="s">
        <v>516</v>
      </c>
      <c r="F48" s="1" t="s">
        <v>517</v>
      </c>
      <c r="I48" s="1" t="s">
        <v>518</v>
      </c>
      <c r="J48" s="1">
        <v>21</v>
      </c>
      <c r="K48" s="1" t="s">
        <v>519</v>
      </c>
      <c r="L48" s="2" t="s">
        <v>520</v>
      </c>
      <c r="R48" s="1" t="s">
        <v>521</v>
      </c>
      <c r="S48" s="1" t="s">
        <v>522</v>
      </c>
      <c r="T48" s="1" t="s">
        <v>523</v>
      </c>
      <c r="U48" s="1" t="s">
        <v>524</v>
      </c>
    </row>
    <row r="49" spans="2:21" ht="28.8" x14ac:dyDescent="0.3">
      <c r="B49" s="4" t="s">
        <v>525</v>
      </c>
      <c r="F49" s="1" t="s">
        <v>526</v>
      </c>
      <c r="I49" s="1" t="s">
        <v>527</v>
      </c>
      <c r="J49" s="1">
        <v>20</v>
      </c>
      <c r="K49" s="1" t="s">
        <v>528</v>
      </c>
      <c r="L49" s="2" t="s">
        <v>529</v>
      </c>
      <c r="R49" s="1" t="s">
        <v>530</v>
      </c>
      <c r="S49" s="1" t="s">
        <v>531</v>
      </c>
      <c r="T49" s="1" t="s">
        <v>126</v>
      </c>
      <c r="U49" s="1" t="s">
        <v>532</v>
      </c>
    </row>
    <row r="50" spans="2:21" ht="28.8" x14ac:dyDescent="0.3">
      <c r="B50" s="4" t="s">
        <v>533</v>
      </c>
      <c r="F50" s="1" t="s">
        <v>534</v>
      </c>
      <c r="I50" s="1" t="s">
        <v>535</v>
      </c>
      <c r="J50" s="1">
        <v>20</v>
      </c>
      <c r="K50" s="1" t="s">
        <v>536</v>
      </c>
      <c r="L50" s="2" t="s">
        <v>537</v>
      </c>
      <c r="R50" s="1" t="s">
        <v>538</v>
      </c>
      <c r="S50" s="1" t="s">
        <v>539</v>
      </c>
      <c r="T50" s="1" t="s">
        <v>540</v>
      </c>
      <c r="U50" s="1" t="s">
        <v>541</v>
      </c>
    </row>
    <row r="51" spans="2:21" ht="28.8" x14ac:dyDescent="0.3">
      <c r="B51" s="4" t="s">
        <v>542</v>
      </c>
      <c r="F51" s="1" t="s">
        <v>543</v>
      </c>
      <c r="I51" s="1" t="s">
        <v>544</v>
      </c>
      <c r="J51" s="1">
        <v>19</v>
      </c>
      <c r="K51" s="1" t="s">
        <v>545</v>
      </c>
      <c r="L51" s="2" t="s">
        <v>546</v>
      </c>
      <c r="R51" s="1" t="s">
        <v>547</v>
      </c>
      <c r="S51" s="1" t="s">
        <v>548</v>
      </c>
      <c r="U51" s="1" t="s">
        <v>549</v>
      </c>
    </row>
    <row r="52" spans="2:21" ht="43.2" x14ac:dyDescent="0.3">
      <c r="B52" s="4" t="s">
        <v>550</v>
      </c>
      <c r="F52" s="1" t="s">
        <v>551</v>
      </c>
      <c r="I52" s="1" t="s">
        <v>552</v>
      </c>
      <c r="J52" s="1">
        <v>31</v>
      </c>
      <c r="K52" s="1" t="s">
        <v>553</v>
      </c>
      <c r="L52" s="2" t="s">
        <v>554</v>
      </c>
      <c r="R52" s="1" t="s">
        <v>555</v>
      </c>
      <c r="S52" s="1" t="s">
        <v>556</v>
      </c>
      <c r="T52" s="1" t="s">
        <v>557</v>
      </c>
      <c r="U52" s="1" t="s">
        <v>558</v>
      </c>
    </row>
    <row r="53" spans="2:21" ht="43.2" x14ac:dyDescent="0.3">
      <c r="B53" s="4" t="s">
        <v>559</v>
      </c>
      <c r="F53" s="1" t="s">
        <v>560</v>
      </c>
      <c r="I53" s="1" t="s">
        <v>561</v>
      </c>
      <c r="J53" s="1">
        <v>27</v>
      </c>
      <c r="K53" s="1" t="s">
        <v>562</v>
      </c>
      <c r="L53" s="2" t="s">
        <v>563</v>
      </c>
      <c r="R53" s="1" t="s">
        <v>564</v>
      </c>
      <c r="S53" s="1" t="s">
        <v>565</v>
      </c>
      <c r="T53" s="1" t="s">
        <v>566</v>
      </c>
      <c r="U53" s="1" t="s">
        <v>567</v>
      </c>
    </row>
    <row r="54" spans="2:21" ht="43.2" x14ac:dyDescent="0.3">
      <c r="F54" s="1" t="s">
        <v>220</v>
      </c>
      <c r="I54" s="1" t="s">
        <v>568</v>
      </c>
      <c r="J54" s="1">
        <v>30</v>
      </c>
      <c r="K54" s="1" t="s">
        <v>569</v>
      </c>
      <c r="L54" s="2" t="s">
        <v>570</v>
      </c>
      <c r="R54" s="1" t="s">
        <v>571</v>
      </c>
      <c r="S54" s="1" t="s">
        <v>167</v>
      </c>
      <c r="T54" s="1" t="s">
        <v>572</v>
      </c>
      <c r="U54" s="1" t="s">
        <v>573</v>
      </c>
    </row>
    <row r="55" spans="2:21" ht="28.8" x14ac:dyDescent="0.3">
      <c r="F55" s="1" t="s">
        <v>574</v>
      </c>
      <c r="I55" s="1" t="s">
        <v>575</v>
      </c>
      <c r="J55" s="1">
        <v>24</v>
      </c>
      <c r="K55" s="1" t="s">
        <v>576</v>
      </c>
      <c r="L55" s="2" t="s">
        <v>577</v>
      </c>
      <c r="R55" s="1" t="s">
        <v>578</v>
      </c>
      <c r="S55" s="1" t="s">
        <v>157</v>
      </c>
      <c r="T55" s="1" t="s">
        <v>579</v>
      </c>
      <c r="U55" s="1" t="s">
        <v>580</v>
      </c>
    </row>
    <row r="56" spans="2:21" ht="43.2" x14ac:dyDescent="0.3">
      <c r="F56" s="1" t="s">
        <v>231</v>
      </c>
      <c r="I56" s="1" t="s">
        <v>581</v>
      </c>
      <c r="J56" s="1">
        <v>27</v>
      </c>
      <c r="K56" s="1" t="s">
        <v>582</v>
      </c>
      <c r="L56" s="2" t="s">
        <v>583</v>
      </c>
      <c r="R56" s="1" t="s">
        <v>584</v>
      </c>
      <c r="S56" s="1" t="s">
        <v>585</v>
      </c>
      <c r="T56" s="1" t="s">
        <v>586</v>
      </c>
      <c r="U56" s="1" t="s">
        <v>587</v>
      </c>
    </row>
    <row r="57" spans="2:21" ht="28.8" x14ac:dyDescent="0.3">
      <c r="F57" s="1" t="s">
        <v>588</v>
      </c>
      <c r="I57" s="1" t="s">
        <v>589</v>
      </c>
      <c r="J57" s="1">
        <v>22</v>
      </c>
      <c r="K57" s="1" t="s">
        <v>590</v>
      </c>
      <c r="L57" s="2" t="s">
        <v>591</v>
      </c>
      <c r="R57" s="1" t="s">
        <v>592</v>
      </c>
      <c r="S57" s="1" t="s">
        <v>593</v>
      </c>
      <c r="U57" s="1" t="s">
        <v>594</v>
      </c>
    </row>
    <row r="58" spans="2:21" ht="28.8" x14ac:dyDescent="0.3">
      <c r="F58" s="1" t="s">
        <v>595</v>
      </c>
      <c r="I58" s="1" t="s">
        <v>596</v>
      </c>
      <c r="J58" s="1">
        <v>18</v>
      </c>
      <c r="K58" s="1" t="s">
        <v>597</v>
      </c>
      <c r="L58" s="2" t="s">
        <v>598</v>
      </c>
      <c r="R58" s="1" t="s">
        <v>599</v>
      </c>
      <c r="S58" s="1" t="s">
        <v>600</v>
      </c>
      <c r="T58" s="1" t="s">
        <v>403</v>
      </c>
      <c r="U58" s="1" t="s">
        <v>601</v>
      </c>
    </row>
    <row r="59" spans="2:21" ht="28.8" x14ac:dyDescent="0.3">
      <c r="F59" s="1" t="s">
        <v>242</v>
      </c>
      <c r="I59" s="1" t="s">
        <v>602</v>
      </c>
      <c r="J59" s="1">
        <v>15</v>
      </c>
      <c r="K59" s="1" t="s">
        <v>603</v>
      </c>
      <c r="L59" s="2" t="s">
        <v>604</v>
      </c>
      <c r="R59" s="1" t="s">
        <v>605</v>
      </c>
      <c r="S59" s="1" t="s">
        <v>606</v>
      </c>
      <c r="T59" s="1" t="s">
        <v>606</v>
      </c>
      <c r="U59" s="1" t="s">
        <v>607</v>
      </c>
    </row>
    <row r="60" spans="2:21" ht="28.8" x14ac:dyDescent="0.3">
      <c r="F60" s="1" t="s">
        <v>253</v>
      </c>
      <c r="I60" s="1" t="s">
        <v>608</v>
      </c>
      <c r="J60" s="1">
        <v>24</v>
      </c>
      <c r="K60" s="1" t="s">
        <v>609</v>
      </c>
      <c r="L60" s="2" t="s">
        <v>610</v>
      </c>
      <c r="R60" s="1" t="s">
        <v>611</v>
      </c>
      <c r="S60" s="1" t="s">
        <v>612</v>
      </c>
      <c r="T60" s="1" t="s">
        <v>344</v>
      </c>
      <c r="U60" s="1" t="s">
        <v>613</v>
      </c>
    </row>
    <row r="61" spans="2:21" ht="43.2" x14ac:dyDescent="0.3">
      <c r="F61" s="1" t="s">
        <v>265</v>
      </c>
      <c r="I61" s="1" t="s">
        <v>178</v>
      </c>
      <c r="J61" s="1">
        <v>29</v>
      </c>
      <c r="K61" s="1" t="s">
        <v>614</v>
      </c>
      <c r="L61" s="2" t="s">
        <v>615</v>
      </c>
      <c r="R61" s="1" t="s">
        <v>616</v>
      </c>
      <c r="S61" s="1" t="s">
        <v>189</v>
      </c>
      <c r="T61" s="1" t="s">
        <v>617</v>
      </c>
      <c r="U61" s="1" t="s">
        <v>618</v>
      </c>
    </row>
    <row r="62" spans="2:21" ht="43.2" x14ac:dyDescent="0.3">
      <c r="F62" s="1" t="s">
        <v>619</v>
      </c>
      <c r="I62" s="1" t="s">
        <v>620</v>
      </c>
      <c r="J62" s="1">
        <v>28</v>
      </c>
      <c r="K62" s="1" t="s">
        <v>621</v>
      </c>
      <c r="L62" s="2" t="s">
        <v>622</v>
      </c>
      <c r="R62" s="1" t="s">
        <v>623</v>
      </c>
      <c r="S62" s="1" t="s">
        <v>624</v>
      </c>
      <c r="T62" s="1" t="s">
        <v>624</v>
      </c>
      <c r="U62" s="1" t="s">
        <v>625</v>
      </c>
    </row>
    <row r="63" spans="2:21" ht="28.8" x14ac:dyDescent="0.3">
      <c r="F63" s="1" t="s">
        <v>626</v>
      </c>
      <c r="I63" s="1" t="s">
        <v>627</v>
      </c>
      <c r="J63" s="1">
        <v>25</v>
      </c>
      <c r="K63" s="1" t="s">
        <v>628</v>
      </c>
      <c r="L63" s="2" t="s">
        <v>629</v>
      </c>
      <c r="R63" s="1" t="s">
        <v>630</v>
      </c>
      <c r="S63" s="1" t="s">
        <v>631</v>
      </c>
      <c r="T63" s="1" t="s">
        <v>631</v>
      </c>
      <c r="U63" s="1" t="s">
        <v>632</v>
      </c>
    </row>
    <row r="64" spans="2:21" ht="43.2" x14ac:dyDescent="0.3">
      <c r="F64" s="1" t="s">
        <v>272</v>
      </c>
      <c r="I64" s="1" t="s">
        <v>633</v>
      </c>
      <c r="J64" s="1">
        <v>29</v>
      </c>
      <c r="K64" s="1" t="s">
        <v>634</v>
      </c>
      <c r="L64" s="2" t="s">
        <v>635</v>
      </c>
      <c r="R64" s="1" t="s">
        <v>636</v>
      </c>
      <c r="S64" s="1" t="s">
        <v>637</v>
      </c>
      <c r="T64" s="1" t="s">
        <v>637</v>
      </c>
      <c r="U64" s="1" t="s">
        <v>638</v>
      </c>
    </row>
    <row r="65" spans="6:21" ht="28.8" x14ac:dyDescent="0.3">
      <c r="F65" s="1" t="s">
        <v>639</v>
      </c>
      <c r="I65" s="1" t="s">
        <v>640</v>
      </c>
      <c r="J65" s="1">
        <v>24</v>
      </c>
      <c r="K65" s="1" t="s">
        <v>641</v>
      </c>
      <c r="L65" s="2" t="s">
        <v>642</v>
      </c>
      <c r="R65" s="1" t="s">
        <v>643</v>
      </c>
      <c r="S65" s="1" t="s">
        <v>644</v>
      </c>
      <c r="T65" s="1" t="s">
        <v>645</v>
      </c>
      <c r="U65" s="1" t="s">
        <v>646</v>
      </c>
    </row>
    <row r="66" spans="6:21" ht="43.2" x14ac:dyDescent="0.3">
      <c r="F66" s="1" t="s">
        <v>647</v>
      </c>
      <c r="I66" s="1" t="s">
        <v>648</v>
      </c>
      <c r="J66" s="1">
        <v>32</v>
      </c>
      <c r="K66" s="1" t="s">
        <v>649</v>
      </c>
      <c r="L66" s="2" t="s">
        <v>650</v>
      </c>
      <c r="R66" s="1" t="s">
        <v>651</v>
      </c>
      <c r="S66" s="1" t="s">
        <v>200</v>
      </c>
      <c r="T66" s="1" t="s">
        <v>645</v>
      </c>
      <c r="U66" s="1" t="s">
        <v>652</v>
      </c>
    </row>
    <row r="67" spans="6:21" ht="43.2" x14ac:dyDescent="0.3">
      <c r="F67" s="1" t="s">
        <v>653</v>
      </c>
      <c r="I67" s="1" t="s">
        <v>654</v>
      </c>
      <c r="J67" s="1">
        <v>27</v>
      </c>
      <c r="K67" s="1" t="s">
        <v>655</v>
      </c>
      <c r="L67" s="2" t="s">
        <v>656</v>
      </c>
      <c r="R67" s="1" t="s">
        <v>657</v>
      </c>
      <c r="S67" s="1" t="s">
        <v>658</v>
      </c>
      <c r="T67" s="1" t="s">
        <v>659</v>
      </c>
      <c r="U67" s="1" t="s">
        <v>660</v>
      </c>
    </row>
    <row r="68" spans="6:21" ht="28.8" x14ac:dyDescent="0.3">
      <c r="F68" s="1" t="s">
        <v>661</v>
      </c>
      <c r="I68" s="1" t="s">
        <v>662</v>
      </c>
      <c r="J68" s="1">
        <v>25</v>
      </c>
      <c r="K68" s="1" t="s">
        <v>663</v>
      </c>
      <c r="L68" s="2" t="s">
        <v>664</v>
      </c>
      <c r="R68" s="1" t="s">
        <v>665</v>
      </c>
      <c r="S68" s="1" t="s">
        <v>666</v>
      </c>
      <c r="T68" s="1" t="s">
        <v>102</v>
      </c>
      <c r="U68" s="1" t="s">
        <v>667</v>
      </c>
    </row>
    <row r="69" spans="6:21" ht="28.8" x14ac:dyDescent="0.3">
      <c r="F69" s="1" t="s">
        <v>668</v>
      </c>
      <c r="I69" s="1" t="s">
        <v>669</v>
      </c>
      <c r="J69" s="1">
        <v>24</v>
      </c>
      <c r="K69" s="1" t="s">
        <v>670</v>
      </c>
      <c r="L69" s="2" t="s">
        <v>671</v>
      </c>
      <c r="R69" s="1" t="s">
        <v>672</v>
      </c>
      <c r="S69" s="1" t="s">
        <v>673</v>
      </c>
      <c r="T69" s="1" t="s">
        <v>673</v>
      </c>
      <c r="U69" s="1" t="s">
        <v>674</v>
      </c>
    </row>
    <row r="70" spans="6:21" ht="28.8" x14ac:dyDescent="0.3">
      <c r="F70" s="1" t="s">
        <v>280</v>
      </c>
      <c r="I70" s="1" t="s">
        <v>675</v>
      </c>
      <c r="J70" s="1">
        <v>22</v>
      </c>
      <c r="K70" s="1" t="s">
        <v>676</v>
      </c>
      <c r="L70" s="2" t="s">
        <v>677</v>
      </c>
      <c r="R70" s="1" t="s">
        <v>678</v>
      </c>
      <c r="S70" s="1" t="s">
        <v>679</v>
      </c>
      <c r="T70" s="1" t="s">
        <v>680</v>
      </c>
      <c r="U70" s="1" t="s">
        <v>681</v>
      </c>
    </row>
    <row r="71" spans="6:21" ht="43.2" x14ac:dyDescent="0.3">
      <c r="F71" s="1" t="s">
        <v>682</v>
      </c>
      <c r="I71" s="1" t="s">
        <v>683</v>
      </c>
      <c r="J71" s="1">
        <v>31</v>
      </c>
      <c r="K71" s="1" t="s">
        <v>684</v>
      </c>
      <c r="L71" s="2" t="s">
        <v>685</v>
      </c>
      <c r="R71" s="1" t="s">
        <v>686</v>
      </c>
      <c r="S71" s="1" t="s">
        <v>687</v>
      </c>
      <c r="T71" s="1" t="s">
        <v>688</v>
      </c>
      <c r="U71" s="1" t="s">
        <v>689</v>
      </c>
    </row>
    <row r="72" spans="6:21" ht="28.8" x14ac:dyDescent="0.3">
      <c r="F72" s="1" t="s">
        <v>690</v>
      </c>
      <c r="I72" s="1" t="s">
        <v>691</v>
      </c>
      <c r="J72" s="1">
        <v>24</v>
      </c>
      <c r="K72" s="1" t="s">
        <v>692</v>
      </c>
      <c r="L72" s="2" t="s">
        <v>693</v>
      </c>
      <c r="R72" s="1" t="s">
        <v>694</v>
      </c>
      <c r="S72" s="1" t="s">
        <v>695</v>
      </c>
      <c r="T72" s="1" t="s">
        <v>695</v>
      </c>
      <c r="U72" s="1" t="s">
        <v>696</v>
      </c>
    </row>
    <row r="73" spans="6:21" ht="28.8" x14ac:dyDescent="0.3">
      <c r="F73" s="1" t="s">
        <v>289</v>
      </c>
      <c r="I73" s="1" t="s">
        <v>697</v>
      </c>
      <c r="J73" s="1">
        <v>19</v>
      </c>
      <c r="K73" s="1" t="s">
        <v>698</v>
      </c>
      <c r="L73" s="2" t="s">
        <v>699</v>
      </c>
      <c r="R73" s="1" t="s">
        <v>700</v>
      </c>
      <c r="S73" s="1" t="s">
        <v>701</v>
      </c>
      <c r="T73" s="1" t="s">
        <v>701</v>
      </c>
      <c r="U73" s="1" t="s">
        <v>702</v>
      </c>
    </row>
    <row r="74" spans="6:21" ht="28.8" x14ac:dyDescent="0.3">
      <c r="F74" s="1" t="s">
        <v>703</v>
      </c>
      <c r="I74" s="1" t="s">
        <v>704</v>
      </c>
      <c r="J74" s="1">
        <v>24</v>
      </c>
      <c r="K74" s="1" t="s">
        <v>705</v>
      </c>
      <c r="L74" s="2" t="s">
        <v>706</v>
      </c>
      <c r="R74" s="1" t="s">
        <v>707</v>
      </c>
      <c r="S74" s="1" t="s">
        <v>708</v>
      </c>
      <c r="T74" s="1" t="s">
        <v>709</v>
      </c>
      <c r="U74" s="1" t="s">
        <v>710</v>
      </c>
    </row>
    <row r="75" spans="6:21" ht="28.8" x14ac:dyDescent="0.3">
      <c r="F75" s="1" t="s">
        <v>297</v>
      </c>
      <c r="I75" s="1" t="s">
        <v>711</v>
      </c>
      <c r="J75" s="1">
        <v>24</v>
      </c>
      <c r="K75" s="1" t="s">
        <v>712</v>
      </c>
      <c r="L75" s="2" t="s">
        <v>713</v>
      </c>
      <c r="R75" s="1" t="s">
        <v>714</v>
      </c>
      <c r="S75" s="1" t="s">
        <v>715</v>
      </c>
      <c r="T75" s="1" t="s">
        <v>716</v>
      </c>
      <c r="U75" s="1" t="s">
        <v>717</v>
      </c>
    </row>
    <row r="76" spans="6:21" ht="28.8" x14ac:dyDescent="0.3">
      <c r="F76" s="1" t="s">
        <v>305</v>
      </c>
      <c r="I76" s="1" t="s">
        <v>718</v>
      </c>
      <c r="J76" s="1">
        <v>21</v>
      </c>
      <c r="K76" s="1" t="s">
        <v>719</v>
      </c>
      <c r="L76" s="2" t="s">
        <v>720</v>
      </c>
      <c r="R76" s="1" t="s">
        <v>721</v>
      </c>
      <c r="S76" s="1" t="s">
        <v>722</v>
      </c>
      <c r="T76" s="1" t="s">
        <v>102</v>
      </c>
      <c r="U76" s="1" t="s">
        <v>723</v>
      </c>
    </row>
    <row r="77" spans="6:21" ht="28.8" x14ac:dyDescent="0.3">
      <c r="F77" s="1" t="s">
        <v>724</v>
      </c>
      <c r="I77" s="1" t="s">
        <v>725</v>
      </c>
      <c r="J77" s="1">
        <v>23</v>
      </c>
      <c r="K77" s="1" t="s">
        <v>726</v>
      </c>
      <c r="L77" s="2" t="s">
        <v>727</v>
      </c>
      <c r="R77" s="1" t="s">
        <v>728</v>
      </c>
      <c r="S77" s="1" t="s">
        <v>729</v>
      </c>
      <c r="T77" s="1" t="s">
        <v>730</v>
      </c>
      <c r="U77" s="1" t="s">
        <v>731</v>
      </c>
    </row>
    <row r="78" spans="6:21" ht="28.8" x14ac:dyDescent="0.3">
      <c r="F78" s="1" t="s">
        <v>732</v>
      </c>
      <c r="I78" s="1" t="s">
        <v>733</v>
      </c>
      <c r="J78" s="1">
        <v>24</v>
      </c>
      <c r="K78" s="1" t="s">
        <v>734</v>
      </c>
      <c r="L78" s="2" t="s">
        <v>735</v>
      </c>
      <c r="R78" s="1" t="s">
        <v>736</v>
      </c>
      <c r="S78" s="1" t="s">
        <v>737</v>
      </c>
      <c r="T78" s="1" t="s">
        <v>738</v>
      </c>
      <c r="U78" s="1" t="s">
        <v>739</v>
      </c>
    </row>
    <row r="79" spans="6:21" ht="28.8" x14ac:dyDescent="0.3">
      <c r="F79" s="1" t="s">
        <v>740</v>
      </c>
      <c r="I79" s="1" t="s">
        <v>741</v>
      </c>
      <c r="J79" s="1">
        <v>26</v>
      </c>
      <c r="K79" s="1" t="s">
        <v>742</v>
      </c>
      <c r="L79" s="2" t="s">
        <v>743</v>
      </c>
      <c r="R79" s="1" t="s">
        <v>744</v>
      </c>
      <c r="S79" s="1" t="s">
        <v>745</v>
      </c>
      <c r="T79" s="1" t="s">
        <v>746</v>
      </c>
      <c r="U79" s="1" t="s">
        <v>747</v>
      </c>
    </row>
    <row r="80" spans="6:21" ht="43.2" x14ac:dyDescent="0.3">
      <c r="F80" s="1" t="s">
        <v>748</v>
      </c>
      <c r="I80" s="1" t="s">
        <v>749</v>
      </c>
      <c r="J80" s="1">
        <v>29</v>
      </c>
      <c r="K80" s="1" t="s">
        <v>750</v>
      </c>
      <c r="L80" s="2" t="s">
        <v>751</v>
      </c>
      <c r="R80" s="1" t="s">
        <v>752</v>
      </c>
      <c r="S80" s="1" t="s">
        <v>753</v>
      </c>
      <c r="T80" s="1" t="s">
        <v>754</v>
      </c>
      <c r="U80" s="1" t="s">
        <v>755</v>
      </c>
    </row>
    <row r="81" spans="6:21" ht="28.8" x14ac:dyDescent="0.3">
      <c r="F81" s="1" t="s">
        <v>756</v>
      </c>
      <c r="I81" s="1" t="s">
        <v>757</v>
      </c>
      <c r="J81" s="1">
        <v>23</v>
      </c>
      <c r="K81" s="1" t="s">
        <v>758</v>
      </c>
      <c r="L81" s="2" t="s">
        <v>759</v>
      </c>
      <c r="R81" s="1" t="s">
        <v>760</v>
      </c>
      <c r="S81" s="1" t="s">
        <v>212</v>
      </c>
      <c r="T81" s="1" t="s">
        <v>102</v>
      </c>
      <c r="U81" s="1" t="s">
        <v>761</v>
      </c>
    </row>
    <row r="82" spans="6:21" ht="28.8" x14ac:dyDescent="0.3">
      <c r="F82" s="1" t="s">
        <v>762</v>
      </c>
      <c r="I82" s="18" t="s">
        <v>121</v>
      </c>
      <c r="J82" s="1">
        <v>22</v>
      </c>
      <c r="K82" s="1" t="s">
        <v>763</v>
      </c>
      <c r="L82" s="2" t="s">
        <v>764</v>
      </c>
      <c r="R82" s="1" t="s">
        <v>765</v>
      </c>
      <c r="S82" s="1" t="s">
        <v>766</v>
      </c>
      <c r="T82" s="1" t="s">
        <v>767</v>
      </c>
      <c r="U82" s="1" t="s">
        <v>768</v>
      </c>
    </row>
    <row r="83" spans="6:21" ht="28.8" x14ac:dyDescent="0.3">
      <c r="F83" s="1" t="s">
        <v>314</v>
      </c>
      <c r="I83" s="1" t="s">
        <v>769</v>
      </c>
      <c r="J83" s="1">
        <v>24</v>
      </c>
      <c r="K83" s="1" t="s">
        <v>770</v>
      </c>
      <c r="L83" s="2" t="s">
        <v>771</v>
      </c>
      <c r="R83" s="1" t="s">
        <v>772</v>
      </c>
      <c r="S83" s="1" t="s">
        <v>773</v>
      </c>
      <c r="T83" s="1" t="s">
        <v>774</v>
      </c>
      <c r="U83" s="1" t="s">
        <v>775</v>
      </c>
    </row>
    <row r="84" spans="6:21" x14ac:dyDescent="0.3">
      <c r="F84" s="1" t="s">
        <v>323</v>
      </c>
      <c r="R84" s="1" t="s">
        <v>776</v>
      </c>
      <c r="S84" s="1" t="s">
        <v>777</v>
      </c>
      <c r="T84" s="1" t="s">
        <v>778</v>
      </c>
      <c r="U84" s="1" t="s">
        <v>779</v>
      </c>
    </row>
    <row r="85" spans="6:21" x14ac:dyDescent="0.3">
      <c r="F85" s="1" t="s">
        <v>780</v>
      </c>
      <c r="R85" s="1" t="s">
        <v>781</v>
      </c>
      <c r="S85" s="1" t="s">
        <v>782</v>
      </c>
      <c r="T85" s="1" t="s">
        <v>319</v>
      </c>
      <c r="U85" s="1" t="s">
        <v>783</v>
      </c>
    </row>
    <row r="86" spans="6:21" x14ac:dyDescent="0.3">
      <c r="F86" s="1" t="s">
        <v>331</v>
      </c>
      <c r="R86" s="1" t="s">
        <v>784</v>
      </c>
      <c r="S86" s="1" t="s">
        <v>785</v>
      </c>
      <c r="T86" s="1" t="s">
        <v>403</v>
      </c>
      <c r="U86" s="1" t="s">
        <v>786</v>
      </c>
    </row>
    <row r="87" spans="6:21" x14ac:dyDescent="0.3">
      <c r="F87" s="1" t="s">
        <v>339</v>
      </c>
      <c r="R87" s="1" t="s">
        <v>787</v>
      </c>
      <c r="S87" s="1" t="s">
        <v>788</v>
      </c>
      <c r="T87" s="1" t="s">
        <v>738</v>
      </c>
      <c r="U87" s="1" t="s">
        <v>789</v>
      </c>
    </row>
    <row r="88" spans="6:21" x14ac:dyDescent="0.3">
      <c r="F88" s="1" t="s">
        <v>348</v>
      </c>
      <c r="R88" s="1" t="s">
        <v>790</v>
      </c>
      <c r="S88" s="1" t="s">
        <v>791</v>
      </c>
      <c r="T88" s="1" t="s">
        <v>102</v>
      </c>
      <c r="U88" s="1" t="s">
        <v>792</v>
      </c>
    </row>
    <row r="89" spans="6:21" x14ac:dyDescent="0.3">
      <c r="F89" s="1" t="s">
        <v>793</v>
      </c>
      <c r="R89" s="1" t="s">
        <v>794</v>
      </c>
      <c r="S89" s="1" t="s">
        <v>795</v>
      </c>
      <c r="T89" s="1" t="s">
        <v>796</v>
      </c>
      <c r="U89" s="1" t="s">
        <v>797</v>
      </c>
    </row>
    <row r="90" spans="6:21" x14ac:dyDescent="0.3">
      <c r="F90" s="1" t="s">
        <v>798</v>
      </c>
      <c r="R90" s="1" t="s">
        <v>799</v>
      </c>
      <c r="S90" s="1" t="s">
        <v>800</v>
      </c>
      <c r="T90" s="1" t="s">
        <v>801</v>
      </c>
      <c r="U90" s="1" t="s">
        <v>802</v>
      </c>
    </row>
    <row r="91" spans="6:21" x14ac:dyDescent="0.3">
      <c r="F91" s="1" t="s">
        <v>803</v>
      </c>
      <c r="G91" s="1" t="s">
        <v>8</v>
      </c>
      <c r="R91" s="1" t="s">
        <v>804</v>
      </c>
      <c r="S91" s="1" t="s">
        <v>805</v>
      </c>
      <c r="T91" s="1" t="s">
        <v>806</v>
      </c>
      <c r="U91" s="1" t="s">
        <v>807</v>
      </c>
    </row>
    <row r="92" spans="6:21" x14ac:dyDescent="0.3">
      <c r="F92" s="1" t="s">
        <v>145</v>
      </c>
      <c r="R92" s="1" t="s">
        <v>808</v>
      </c>
      <c r="S92" s="1" t="s">
        <v>809</v>
      </c>
      <c r="T92" s="1" t="s">
        <v>709</v>
      </c>
      <c r="U92" s="1" t="s">
        <v>810</v>
      </c>
    </row>
    <row r="93" spans="6:21" x14ac:dyDescent="0.3">
      <c r="F93" s="1" t="s">
        <v>363</v>
      </c>
      <c r="R93" s="1" t="s">
        <v>811</v>
      </c>
      <c r="S93" s="1" t="s">
        <v>812</v>
      </c>
      <c r="T93" s="1" t="s">
        <v>813</v>
      </c>
      <c r="U93" s="1" t="s">
        <v>814</v>
      </c>
    </row>
    <row r="94" spans="6:21" x14ac:dyDescent="0.3">
      <c r="F94" s="1" t="s">
        <v>815</v>
      </c>
      <c r="R94" s="1" t="s">
        <v>816</v>
      </c>
      <c r="S94" s="1" t="s">
        <v>817</v>
      </c>
      <c r="T94" s="1" t="s">
        <v>579</v>
      </c>
      <c r="U94" s="1" t="s">
        <v>818</v>
      </c>
    </row>
    <row r="95" spans="6:21" x14ac:dyDescent="0.3">
      <c r="F95" s="1" t="s">
        <v>819</v>
      </c>
      <c r="R95" s="1" t="s">
        <v>820</v>
      </c>
      <c r="S95" s="1" t="s">
        <v>821</v>
      </c>
      <c r="T95" s="1" t="s">
        <v>822</v>
      </c>
      <c r="U95" s="1" t="s">
        <v>823</v>
      </c>
    </row>
    <row r="96" spans="6:21" x14ac:dyDescent="0.3">
      <c r="F96" s="1" t="s">
        <v>824</v>
      </c>
      <c r="R96" s="1" t="s">
        <v>825</v>
      </c>
      <c r="S96" s="1" t="s">
        <v>826</v>
      </c>
      <c r="U96" s="1" t="s">
        <v>827</v>
      </c>
    </row>
    <row r="97" spans="6:21" x14ac:dyDescent="0.3">
      <c r="F97" s="1" t="s">
        <v>828</v>
      </c>
      <c r="R97" s="1" t="s">
        <v>829</v>
      </c>
      <c r="S97" s="1" t="s">
        <v>830</v>
      </c>
      <c r="T97" s="1" t="s">
        <v>831</v>
      </c>
      <c r="U97" s="1" t="s">
        <v>832</v>
      </c>
    </row>
    <row r="98" spans="6:21" x14ac:dyDescent="0.3">
      <c r="F98" s="1" t="s">
        <v>833</v>
      </c>
      <c r="R98" s="1" t="s">
        <v>834</v>
      </c>
      <c r="S98" s="1" t="s">
        <v>835</v>
      </c>
      <c r="T98" s="1" t="s">
        <v>126</v>
      </c>
      <c r="U98" s="1" t="s">
        <v>836</v>
      </c>
    </row>
    <row r="99" spans="6:21" x14ac:dyDescent="0.3">
      <c r="F99" s="1" t="s">
        <v>372</v>
      </c>
      <c r="R99" s="1" t="s">
        <v>837</v>
      </c>
      <c r="S99" s="1" t="s">
        <v>838</v>
      </c>
      <c r="T99" s="1" t="s">
        <v>839</v>
      </c>
      <c r="U99" s="1" t="s">
        <v>840</v>
      </c>
    </row>
    <row r="100" spans="6:21" x14ac:dyDescent="0.3">
      <c r="F100" s="1" t="s">
        <v>841</v>
      </c>
      <c r="R100" s="1" t="s">
        <v>842</v>
      </c>
      <c r="S100" s="1" t="s">
        <v>843</v>
      </c>
      <c r="T100" s="1" t="s">
        <v>844</v>
      </c>
      <c r="U100" s="1" t="s">
        <v>845</v>
      </c>
    </row>
    <row r="101" spans="6:21" x14ac:dyDescent="0.3">
      <c r="F101" s="1" t="s">
        <v>846</v>
      </c>
      <c r="R101" s="1" t="s">
        <v>847</v>
      </c>
      <c r="S101" s="1" t="s">
        <v>848</v>
      </c>
      <c r="T101" s="1" t="s">
        <v>849</v>
      </c>
      <c r="U101" s="1" t="s">
        <v>850</v>
      </c>
    </row>
    <row r="102" spans="6:21" x14ac:dyDescent="0.3">
      <c r="F102" s="1" t="s">
        <v>380</v>
      </c>
      <c r="R102" s="1" t="s">
        <v>851</v>
      </c>
      <c r="S102" s="1" t="s">
        <v>852</v>
      </c>
      <c r="T102" s="1" t="s">
        <v>853</v>
      </c>
      <c r="U102" s="1" t="s">
        <v>854</v>
      </c>
    </row>
    <row r="103" spans="6:21" x14ac:dyDescent="0.3">
      <c r="F103" s="1" t="s">
        <v>389</v>
      </c>
      <c r="R103" s="1" t="s">
        <v>855</v>
      </c>
      <c r="S103" s="1" t="s">
        <v>856</v>
      </c>
      <c r="T103" s="1" t="s">
        <v>857</v>
      </c>
      <c r="U103" s="1" t="s">
        <v>858</v>
      </c>
    </row>
    <row r="104" spans="6:21" x14ac:dyDescent="0.3">
      <c r="F104" s="1" t="s">
        <v>156</v>
      </c>
      <c r="R104" s="1" t="s">
        <v>859</v>
      </c>
      <c r="S104" s="1" t="s">
        <v>860</v>
      </c>
      <c r="T104" s="1" t="s">
        <v>860</v>
      </c>
      <c r="U104" s="1" t="s">
        <v>861</v>
      </c>
    </row>
    <row r="105" spans="6:21" x14ac:dyDescent="0.3">
      <c r="F105" s="1" t="s">
        <v>862</v>
      </c>
      <c r="R105" s="1" t="s">
        <v>863</v>
      </c>
      <c r="S105" s="1" t="s">
        <v>864</v>
      </c>
      <c r="T105" s="1" t="s">
        <v>403</v>
      </c>
      <c r="U105" s="1" t="s">
        <v>865</v>
      </c>
    </row>
    <row r="106" spans="6:21" x14ac:dyDescent="0.3">
      <c r="F106" s="1" t="s">
        <v>398</v>
      </c>
      <c r="R106" s="1" t="s">
        <v>866</v>
      </c>
      <c r="S106" s="1" t="s">
        <v>867</v>
      </c>
      <c r="T106" s="1" t="s">
        <v>868</v>
      </c>
      <c r="U106" s="1" t="s">
        <v>869</v>
      </c>
    </row>
    <row r="107" spans="6:21" x14ac:dyDescent="0.3">
      <c r="F107" s="1" t="s">
        <v>407</v>
      </c>
      <c r="R107" s="1" t="s">
        <v>870</v>
      </c>
      <c r="S107" s="1" t="s">
        <v>871</v>
      </c>
      <c r="T107" s="1" t="s">
        <v>468</v>
      </c>
      <c r="U107" s="1" t="s">
        <v>872</v>
      </c>
    </row>
    <row r="108" spans="6:21" x14ac:dyDescent="0.3">
      <c r="F108" s="1" t="s">
        <v>415</v>
      </c>
      <c r="R108" s="1" t="s">
        <v>873</v>
      </c>
      <c r="S108" s="1" t="s">
        <v>874</v>
      </c>
      <c r="T108" s="1" t="s">
        <v>875</v>
      </c>
      <c r="U108" s="1" t="s">
        <v>876</v>
      </c>
    </row>
    <row r="109" spans="6:21" x14ac:dyDescent="0.3">
      <c r="F109" s="1" t="s">
        <v>424</v>
      </c>
      <c r="R109" s="1" t="s">
        <v>877</v>
      </c>
      <c r="S109" s="1" t="s">
        <v>878</v>
      </c>
      <c r="T109" s="1" t="s">
        <v>879</v>
      </c>
      <c r="U109" s="1" t="s">
        <v>880</v>
      </c>
    </row>
    <row r="110" spans="6:21" x14ac:dyDescent="0.3">
      <c r="F110" s="1" t="s">
        <v>166</v>
      </c>
      <c r="R110" s="1" t="s">
        <v>881</v>
      </c>
      <c r="S110" s="1" t="s">
        <v>882</v>
      </c>
      <c r="T110" s="1" t="s">
        <v>883</v>
      </c>
      <c r="U110" s="1" t="s">
        <v>884</v>
      </c>
    </row>
    <row r="111" spans="6:21" x14ac:dyDescent="0.3">
      <c r="F111" s="1" t="s">
        <v>439</v>
      </c>
      <c r="R111" s="1" t="s">
        <v>885</v>
      </c>
      <c r="S111" s="1" t="s">
        <v>886</v>
      </c>
      <c r="T111" s="1" t="s">
        <v>887</v>
      </c>
      <c r="U111" s="1" t="s">
        <v>888</v>
      </c>
    </row>
    <row r="112" spans="6:21" x14ac:dyDescent="0.3">
      <c r="F112" s="1" t="s">
        <v>889</v>
      </c>
      <c r="R112" s="1" t="s">
        <v>890</v>
      </c>
      <c r="S112" s="1" t="s">
        <v>891</v>
      </c>
      <c r="T112" s="1" t="s">
        <v>359</v>
      </c>
      <c r="U112" s="1" t="s">
        <v>892</v>
      </c>
    </row>
    <row r="113" spans="6:21" x14ac:dyDescent="0.3">
      <c r="F113" s="1" t="s">
        <v>893</v>
      </c>
      <c r="R113" s="1" t="s">
        <v>894</v>
      </c>
      <c r="S113" s="1" t="s">
        <v>895</v>
      </c>
      <c r="T113" s="1" t="s">
        <v>895</v>
      </c>
      <c r="U113" s="1" t="s">
        <v>896</v>
      </c>
    </row>
    <row r="114" spans="6:21" x14ac:dyDescent="0.3">
      <c r="F114" s="1" t="s">
        <v>447</v>
      </c>
      <c r="R114" s="1" t="s">
        <v>897</v>
      </c>
      <c r="S114" s="1" t="s">
        <v>898</v>
      </c>
      <c r="T114" s="1" t="s">
        <v>898</v>
      </c>
      <c r="U114" s="1" t="s">
        <v>899</v>
      </c>
    </row>
    <row r="115" spans="6:21" x14ac:dyDescent="0.3">
      <c r="F115" s="1" t="s">
        <v>455</v>
      </c>
      <c r="R115" s="1" t="s">
        <v>900</v>
      </c>
      <c r="S115" s="1" t="s">
        <v>246</v>
      </c>
      <c r="T115" s="1" t="s">
        <v>901</v>
      </c>
      <c r="U115" s="1" t="s">
        <v>902</v>
      </c>
    </row>
    <row r="116" spans="6:21" x14ac:dyDescent="0.3">
      <c r="F116" s="1" t="s">
        <v>463</v>
      </c>
      <c r="R116" s="1" t="s">
        <v>903</v>
      </c>
      <c r="S116" s="1" t="s">
        <v>904</v>
      </c>
      <c r="T116" s="1" t="s">
        <v>905</v>
      </c>
      <c r="U116" s="1" t="s">
        <v>906</v>
      </c>
    </row>
    <row r="117" spans="6:21" x14ac:dyDescent="0.3">
      <c r="F117" s="1" t="s">
        <v>188</v>
      </c>
      <c r="R117" s="1" t="s">
        <v>907</v>
      </c>
      <c r="S117" s="1" t="s">
        <v>908</v>
      </c>
      <c r="T117" s="1" t="s">
        <v>909</v>
      </c>
      <c r="U117" s="1" t="s">
        <v>910</v>
      </c>
    </row>
    <row r="118" spans="6:21" x14ac:dyDescent="0.3">
      <c r="F118" s="1" t="s">
        <v>911</v>
      </c>
      <c r="R118" s="1" t="s">
        <v>912</v>
      </c>
      <c r="S118" s="1" t="s">
        <v>913</v>
      </c>
      <c r="T118" s="1" t="s">
        <v>914</v>
      </c>
      <c r="U118" s="1" t="s">
        <v>915</v>
      </c>
    </row>
    <row r="119" spans="6:21" x14ac:dyDescent="0.3">
      <c r="F119" s="1" t="s">
        <v>478</v>
      </c>
      <c r="R119" s="1" t="s">
        <v>916</v>
      </c>
      <c r="S119" s="1" t="s">
        <v>917</v>
      </c>
      <c r="T119" s="1" t="s">
        <v>917</v>
      </c>
      <c r="U119" s="1" t="s">
        <v>918</v>
      </c>
    </row>
    <row r="120" spans="6:21" x14ac:dyDescent="0.3">
      <c r="F120" s="1" t="s">
        <v>486</v>
      </c>
      <c r="R120" s="1" t="s">
        <v>919</v>
      </c>
      <c r="S120" s="1" t="s">
        <v>235</v>
      </c>
      <c r="T120" s="1" t="s">
        <v>920</v>
      </c>
      <c r="U120" s="1" t="s">
        <v>921</v>
      </c>
    </row>
    <row r="121" spans="6:21" x14ac:dyDescent="0.3">
      <c r="F121" s="1" t="s">
        <v>922</v>
      </c>
      <c r="R121" s="1" t="s">
        <v>923</v>
      </c>
      <c r="S121" s="1" t="s">
        <v>924</v>
      </c>
      <c r="T121" s="1" t="s">
        <v>925</v>
      </c>
      <c r="U121" s="1" t="s">
        <v>926</v>
      </c>
    </row>
    <row r="122" spans="6:21" x14ac:dyDescent="0.3">
      <c r="F122" s="1" t="s">
        <v>927</v>
      </c>
      <c r="R122" s="1" t="s">
        <v>928</v>
      </c>
      <c r="S122" s="1" t="s">
        <v>929</v>
      </c>
      <c r="U122" s="1" t="s">
        <v>930</v>
      </c>
    </row>
    <row r="123" spans="6:21" x14ac:dyDescent="0.3">
      <c r="F123" s="1" t="s">
        <v>501</v>
      </c>
      <c r="R123" s="1" t="s">
        <v>931</v>
      </c>
      <c r="S123" s="1" t="s">
        <v>932</v>
      </c>
      <c r="T123" s="1" t="s">
        <v>933</v>
      </c>
      <c r="U123" s="1" t="s">
        <v>934</v>
      </c>
    </row>
    <row r="124" spans="6:21" x14ac:dyDescent="0.3">
      <c r="F124" s="1" t="s">
        <v>509</v>
      </c>
      <c r="R124" s="1" t="s">
        <v>935</v>
      </c>
      <c r="S124" s="1" t="s">
        <v>936</v>
      </c>
      <c r="T124" s="1" t="s">
        <v>936</v>
      </c>
      <c r="U124" s="1" t="s">
        <v>937</v>
      </c>
    </row>
    <row r="125" spans="6:21" x14ac:dyDescent="0.3">
      <c r="F125" s="1" t="s">
        <v>938</v>
      </c>
      <c r="R125" s="1" t="s">
        <v>939</v>
      </c>
      <c r="S125" s="1" t="s">
        <v>940</v>
      </c>
      <c r="T125" s="1" t="s">
        <v>940</v>
      </c>
      <c r="U125" s="1" t="s">
        <v>941</v>
      </c>
    </row>
    <row r="126" spans="6:21" x14ac:dyDescent="0.3">
      <c r="F126" s="1" t="s">
        <v>942</v>
      </c>
      <c r="R126" s="1" t="s">
        <v>943</v>
      </c>
      <c r="S126" s="1" t="s">
        <v>944</v>
      </c>
      <c r="T126" s="1" t="s">
        <v>944</v>
      </c>
      <c r="U126" s="1" t="s">
        <v>945</v>
      </c>
    </row>
    <row r="127" spans="6:21" x14ac:dyDescent="0.3">
      <c r="F127" s="1" t="s">
        <v>946</v>
      </c>
      <c r="R127" s="1" t="s">
        <v>947</v>
      </c>
      <c r="S127" s="1" t="s">
        <v>948</v>
      </c>
      <c r="T127" s="1" t="s">
        <v>949</v>
      </c>
      <c r="U127" s="1" t="s">
        <v>950</v>
      </c>
    </row>
    <row r="128" spans="6:21" x14ac:dyDescent="0.3">
      <c r="F128" s="1" t="s">
        <v>518</v>
      </c>
      <c r="R128" s="1" t="s">
        <v>951</v>
      </c>
      <c r="S128" s="1" t="s">
        <v>952</v>
      </c>
      <c r="T128" s="1" t="s">
        <v>953</v>
      </c>
      <c r="U128" s="1" t="s">
        <v>954</v>
      </c>
    </row>
    <row r="129" spans="6:21" x14ac:dyDescent="0.3">
      <c r="F129" s="1" t="s">
        <v>527</v>
      </c>
      <c r="R129" s="1" t="s">
        <v>955</v>
      </c>
      <c r="S129" s="1" t="s">
        <v>956</v>
      </c>
      <c r="T129" s="1" t="s">
        <v>957</v>
      </c>
      <c r="U129" s="1" t="s">
        <v>958</v>
      </c>
    </row>
    <row r="130" spans="6:21" x14ac:dyDescent="0.3">
      <c r="F130" s="1" t="s">
        <v>535</v>
      </c>
      <c r="R130" s="1" t="s">
        <v>959</v>
      </c>
      <c r="S130" s="1" t="s">
        <v>960</v>
      </c>
      <c r="T130" s="1" t="s">
        <v>961</v>
      </c>
      <c r="U130" s="1" t="s">
        <v>962</v>
      </c>
    </row>
    <row r="131" spans="6:21" x14ac:dyDescent="0.3">
      <c r="F131" s="1" t="s">
        <v>963</v>
      </c>
      <c r="R131" s="1" t="s">
        <v>964</v>
      </c>
      <c r="S131" s="1" t="s">
        <v>965</v>
      </c>
      <c r="T131" s="1" t="s">
        <v>966</v>
      </c>
      <c r="U131" s="1" t="s">
        <v>967</v>
      </c>
    </row>
    <row r="132" spans="6:21" x14ac:dyDescent="0.3">
      <c r="F132" s="1" t="s">
        <v>544</v>
      </c>
      <c r="R132" s="1" t="s">
        <v>968</v>
      </c>
      <c r="S132" s="1" t="s">
        <v>969</v>
      </c>
      <c r="T132" s="1" t="s">
        <v>970</v>
      </c>
      <c r="U132" s="1" t="s">
        <v>971</v>
      </c>
    </row>
    <row r="133" spans="6:21" x14ac:dyDescent="0.3">
      <c r="F133" s="1" t="s">
        <v>972</v>
      </c>
      <c r="R133" s="1" t="s">
        <v>973</v>
      </c>
      <c r="S133" s="1" t="s">
        <v>974</v>
      </c>
      <c r="T133" s="1" t="s">
        <v>975</v>
      </c>
      <c r="U133" s="1" t="s">
        <v>976</v>
      </c>
    </row>
    <row r="134" spans="6:21" x14ac:dyDescent="0.3">
      <c r="F134" s="1" t="s">
        <v>977</v>
      </c>
      <c r="R134" s="1" t="s">
        <v>978</v>
      </c>
      <c r="S134" s="1" t="s">
        <v>979</v>
      </c>
      <c r="T134" s="1" t="s">
        <v>979</v>
      </c>
      <c r="U134" s="1" t="s">
        <v>980</v>
      </c>
    </row>
    <row r="135" spans="6:21" x14ac:dyDescent="0.3">
      <c r="F135" s="1" t="s">
        <v>981</v>
      </c>
      <c r="R135" s="1" t="s">
        <v>982</v>
      </c>
      <c r="S135" s="1" t="s">
        <v>224</v>
      </c>
      <c r="T135" s="1" t="s">
        <v>9</v>
      </c>
      <c r="U135" s="1" t="s">
        <v>983</v>
      </c>
    </row>
    <row r="136" spans="6:21" x14ac:dyDescent="0.3">
      <c r="F136" s="1" t="s">
        <v>984</v>
      </c>
      <c r="R136" s="1" t="s">
        <v>985</v>
      </c>
      <c r="S136" s="1" t="s">
        <v>986</v>
      </c>
      <c r="T136" s="1" t="s">
        <v>986</v>
      </c>
      <c r="U136" s="1" t="s">
        <v>987</v>
      </c>
    </row>
    <row r="137" spans="6:21" x14ac:dyDescent="0.3">
      <c r="F137" s="1" t="s">
        <v>988</v>
      </c>
    </row>
    <row r="138" spans="6:21" x14ac:dyDescent="0.3">
      <c r="F138" s="1" t="s">
        <v>552</v>
      </c>
    </row>
    <row r="139" spans="6:21" x14ac:dyDescent="0.3">
      <c r="F139" s="1" t="s">
        <v>989</v>
      </c>
    </row>
    <row r="140" spans="6:21" x14ac:dyDescent="0.3">
      <c r="F140" s="1" t="s">
        <v>990</v>
      </c>
    </row>
    <row r="141" spans="6:21" x14ac:dyDescent="0.3">
      <c r="F141" s="1" t="s">
        <v>561</v>
      </c>
    </row>
    <row r="142" spans="6:21" x14ac:dyDescent="0.3">
      <c r="F142" s="1" t="s">
        <v>568</v>
      </c>
    </row>
    <row r="143" spans="6:21" x14ac:dyDescent="0.3">
      <c r="F143" s="1" t="s">
        <v>991</v>
      </c>
    </row>
    <row r="144" spans="6:21" x14ac:dyDescent="0.3">
      <c r="F144" s="1" t="s">
        <v>211</v>
      </c>
    </row>
    <row r="145" spans="6:6" x14ac:dyDescent="0.3">
      <c r="F145" s="1" t="s">
        <v>992</v>
      </c>
    </row>
    <row r="146" spans="6:6" x14ac:dyDescent="0.3">
      <c r="F146" s="1" t="s">
        <v>575</v>
      </c>
    </row>
    <row r="147" spans="6:6" x14ac:dyDescent="0.3">
      <c r="F147" s="1" t="s">
        <v>581</v>
      </c>
    </row>
    <row r="148" spans="6:6" x14ac:dyDescent="0.3">
      <c r="F148" s="1" t="s">
        <v>993</v>
      </c>
    </row>
    <row r="149" spans="6:6" x14ac:dyDescent="0.3">
      <c r="F149" s="1" t="s">
        <v>589</v>
      </c>
    </row>
    <row r="150" spans="6:6" x14ac:dyDescent="0.3">
      <c r="F150" s="1" t="s">
        <v>994</v>
      </c>
    </row>
    <row r="151" spans="6:6" x14ac:dyDescent="0.3">
      <c r="F151" s="1" t="s">
        <v>995</v>
      </c>
    </row>
    <row r="152" spans="6:6" x14ac:dyDescent="0.3">
      <c r="F152" s="1" t="s">
        <v>996</v>
      </c>
    </row>
    <row r="153" spans="6:6" x14ac:dyDescent="0.3">
      <c r="F153" s="1" t="s">
        <v>997</v>
      </c>
    </row>
    <row r="154" spans="6:6" x14ac:dyDescent="0.3">
      <c r="F154" s="1" t="s">
        <v>998</v>
      </c>
    </row>
    <row r="155" spans="6:6" x14ac:dyDescent="0.3">
      <c r="F155" s="1" t="s">
        <v>999</v>
      </c>
    </row>
    <row r="156" spans="6:6" x14ac:dyDescent="0.3">
      <c r="F156" s="1" t="s">
        <v>596</v>
      </c>
    </row>
    <row r="157" spans="6:6" x14ac:dyDescent="0.3">
      <c r="F157" s="1" t="s">
        <v>1000</v>
      </c>
    </row>
    <row r="158" spans="6:6" x14ac:dyDescent="0.3">
      <c r="F158" s="1" t="s">
        <v>1001</v>
      </c>
    </row>
    <row r="159" spans="6:6" x14ac:dyDescent="0.3">
      <c r="F159" s="1" t="s">
        <v>1002</v>
      </c>
    </row>
    <row r="160" spans="6:6" x14ac:dyDescent="0.3">
      <c r="F160" s="1" t="s">
        <v>1003</v>
      </c>
    </row>
    <row r="161" spans="6:7" x14ac:dyDescent="0.3">
      <c r="F161" s="1" t="s">
        <v>1004</v>
      </c>
    </row>
    <row r="162" spans="6:7" x14ac:dyDescent="0.3">
      <c r="F162" s="1" t="s">
        <v>1005</v>
      </c>
    </row>
    <row r="163" spans="6:7" x14ac:dyDescent="0.3">
      <c r="F163" s="1" t="s">
        <v>1006</v>
      </c>
    </row>
    <row r="164" spans="6:7" x14ac:dyDescent="0.3">
      <c r="F164" s="1" t="s">
        <v>1007</v>
      </c>
    </row>
    <row r="165" spans="6:7" x14ac:dyDescent="0.3">
      <c r="F165" s="1" t="s">
        <v>1008</v>
      </c>
      <c r="G165" s="1" t="s">
        <v>8</v>
      </c>
    </row>
    <row r="166" spans="6:7" x14ac:dyDescent="0.3">
      <c r="F166" s="1" t="s">
        <v>602</v>
      </c>
    </row>
    <row r="167" spans="6:7" x14ac:dyDescent="0.3">
      <c r="F167" s="1" t="s">
        <v>1009</v>
      </c>
    </row>
    <row r="168" spans="6:7" x14ac:dyDescent="0.3">
      <c r="F168" s="1" t="s">
        <v>608</v>
      </c>
    </row>
    <row r="169" spans="6:7" x14ac:dyDescent="0.3">
      <c r="F169" s="1" t="s">
        <v>1010</v>
      </c>
    </row>
    <row r="170" spans="6:7" x14ac:dyDescent="0.3">
      <c r="F170" s="1" t="s">
        <v>178</v>
      </c>
    </row>
    <row r="171" spans="6:7" x14ac:dyDescent="0.3">
      <c r="F171" s="1" t="s">
        <v>1011</v>
      </c>
    </row>
    <row r="172" spans="6:7" x14ac:dyDescent="0.3">
      <c r="F172" s="1" t="s">
        <v>1012</v>
      </c>
    </row>
    <row r="173" spans="6:7" x14ac:dyDescent="0.3">
      <c r="F173" s="1" t="s">
        <v>1013</v>
      </c>
    </row>
    <row r="174" spans="6:7" x14ac:dyDescent="0.3">
      <c r="F174" s="1" t="s">
        <v>1014</v>
      </c>
    </row>
    <row r="175" spans="6:7" x14ac:dyDescent="0.3">
      <c r="F175" s="1" t="s">
        <v>1015</v>
      </c>
    </row>
    <row r="176" spans="6:7" x14ac:dyDescent="0.3">
      <c r="F176" s="1" t="s">
        <v>1016</v>
      </c>
    </row>
    <row r="177" spans="6:7" x14ac:dyDescent="0.3">
      <c r="F177" s="1" t="s">
        <v>620</v>
      </c>
    </row>
    <row r="178" spans="6:7" x14ac:dyDescent="0.3">
      <c r="F178" s="1" t="s">
        <v>627</v>
      </c>
    </row>
    <row r="179" spans="6:7" x14ac:dyDescent="0.3">
      <c r="F179" s="1" t="s">
        <v>1017</v>
      </c>
      <c r="G179" s="1" t="s">
        <v>8</v>
      </c>
    </row>
    <row r="180" spans="6:7" x14ac:dyDescent="0.3">
      <c r="F180" s="1" t="s">
        <v>633</v>
      </c>
    </row>
    <row r="181" spans="6:7" x14ac:dyDescent="0.3">
      <c r="F181" s="1" t="s">
        <v>1018</v>
      </c>
    </row>
    <row r="182" spans="6:7" x14ac:dyDescent="0.3">
      <c r="F182" s="1" t="s">
        <v>640</v>
      </c>
    </row>
    <row r="183" spans="6:7" x14ac:dyDescent="0.3">
      <c r="F183" s="1" t="s">
        <v>1019</v>
      </c>
    </row>
    <row r="184" spans="6:7" x14ac:dyDescent="0.3">
      <c r="F184" s="1" t="s">
        <v>1020</v>
      </c>
    </row>
    <row r="185" spans="6:7" x14ac:dyDescent="0.3">
      <c r="F185" s="1" t="s">
        <v>1021</v>
      </c>
    </row>
    <row r="186" spans="6:7" x14ac:dyDescent="0.3">
      <c r="F186" s="1" t="s">
        <v>1022</v>
      </c>
    </row>
    <row r="187" spans="6:7" x14ac:dyDescent="0.3">
      <c r="F187" s="1" t="s">
        <v>1023</v>
      </c>
    </row>
    <row r="188" spans="6:7" x14ac:dyDescent="0.3">
      <c r="F188" s="1" t="s">
        <v>648</v>
      </c>
    </row>
    <row r="189" spans="6:7" x14ac:dyDescent="0.3">
      <c r="F189" s="1" t="s">
        <v>1024</v>
      </c>
    </row>
    <row r="190" spans="6:7" x14ac:dyDescent="0.3">
      <c r="F190" s="1" t="s">
        <v>1025</v>
      </c>
    </row>
    <row r="191" spans="6:7" x14ac:dyDescent="0.3">
      <c r="F191" s="1" t="s">
        <v>1026</v>
      </c>
    </row>
    <row r="192" spans="6:7" x14ac:dyDescent="0.3">
      <c r="F192" s="1" t="s">
        <v>1027</v>
      </c>
    </row>
    <row r="193" spans="6:6" x14ac:dyDescent="0.3">
      <c r="F193" s="1" t="s">
        <v>654</v>
      </c>
    </row>
    <row r="194" spans="6:6" x14ac:dyDescent="0.3">
      <c r="F194" s="1" t="s">
        <v>662</v>
      </c>
    </row>
    <row r="195" spans="6:6" x14ac:dyDescent="0.3">
      <c r="F195" s="1" t="s">
        <v>669</v>
      </c>
    </row>
    <row r="196" spans="6:6" x14ac:dyDescent="0.3">
      <c r="F196" s="1" t="s">
        <v>1028</v>
      </c>
    </row>
    <row r="197" spans="6:6" x14ac:dyDescent="0.3">
      <c r="F197" s="1" t="s">
        <v>675</v>
      </c>
    </row>
    <row r="198" spans="6:6" x14ac:dyDescent="0.3">
      <c r="F198" s="1" t="s">
        <v>683</v>
      </c>
    </row>
    <row r="199" spans="6:6" x14ac:dyDescent="0.3">
      <c r="F199" s="1" t="s">
        <v>1029</v>
      </c>
    </row>
    <row r="200" spans="6:6" x14ac:dyDescent="0.3">
      <c r="F200" s="1" t="s">
        <v>1030</v>
      </c>
    </row>
    <row r="201" spans="6:6" x14ac:dyDescent="0.3">
      <c r="F201" s="1" t="s">
        <v>1031</v>
      </c>
    </row>
    <row r="202" spans="6:6" x14ac:dyDescent="0.3">
      <c r="F202" s="1" t="s">
        <v>691</v>
      </c>
    </row>
    <row r="203" spans="6:6" x14ac:dyDescent="0.3">
      <c r="F203" s="1" t="s">
        <v>697</v>
      </c>
    </row>
    <row r="204" spans="6:6" x14ac:dyDescent="0.3">
      <c r="F204" s="1" t="s">
        <v>1032</v>
      </c>
    </row>
    <row r="205" spans="6:6" x14ac:dyDescent="0.3">
      <c r="F205" s="1" t="s">
        <v>1033</v>
      </c>
    </row>
    <row r="206" spans="6:6" x14ac:dyDescent="0.3">
      <c r="F206" s="1" t="s">
        <v>223</v>
      </c>
    </row>
    <row r="207" spans="6:6" x14ac:dyDescent="0.3">
      <c r="F207" s="1" t="s">
        <v>1034</v>
      </c>
    </row>
    <row r="208" spans="6:6" x14ac:dyDescent="0.3">
      <c r="F208" s="1" t="s">
        <v>199</v>
      </c>
    </row>
    <row r="209" spans="6:6" x14ac:dyDescent="0.3">
      <c r="F209" s="1" t="s">
        <v>1035</v>
      </c>
    </row>
    <row r="210" spans="6:6" x14ac:dyDescent="0.3">
      <c r="F210" s="1" t="s">
        <v>704</v>
      </c>
    </row>
    <row r="211" spans="6:6" x14ac:dyDescent="0.3">
      <c r="F211" s="1" t="s">
        <v>1036</v>
      </c>
    </row>
    <row r="212" spans="6:6" x14ac:dyDescent="0.3">
      <c r="F212" s="1" t="s">
        <v>1037</v>
      </c>
    </row>
    <row r="213" spans="6:6" x14ac:dyDescent="0.3">
      <c r="F213" s="1" t="s">
        <v>1038</v>
      </c>
    </row>
    <row r="214" spans="6:6" x14ac:dyDescent="0.3">
      <c r="F214" s="1" t="s">
        <v>1039</v>
      </c>
    </row>
    <row r="215" spans="6:6" x14ac:dyDescent="0.3">
      <c r="F215" s="1" t="s">
        <v>1040</v>
      </c>
    </row>
    <row r="216" spans="6:6" x14ac:dyDescent="0.3">
      <c r="F216" s="1" t="s">
        <v>711</v>
      </c>
    </row>
    <row r="217" spans="6:6" x14ac:dyDescent="0.3">
      <c r="F217" s="1" t="s">
        <v>718</v>
      </c>
    </row>
    <row r="218" spans="6:6" x14ac:dyDescent="0.3">
      <c r="F218" s="1" t="s">
        <v>1041</v>
      </c>
    </row>
    <row r="219" spans="6:6" x14ac:dyDescent="0.3">
      <c r="F219" s="1" t="s">
        <v>234</v>
      </c>
    </row>
    <row r="220" spans="6:6" x14ac:dyDescent="0.3">
      <c r="F220" s="1" t="s">
        <v>1042</v>
      </c>
    </row>
    <row r="221" spans="6:6" x14ac:dyDescent="0.3">
      <c r="F221" s="1" t="s">
        <v>1043</v>
      </c>
    </row>
    <row r="222" spans="6:6" x14ac:dyDescent="0.3">
      <c r="F222" s="1" t="s">
        <v>245</v>
      </c>
    </row>
    <row r="223" spans="6:6" x14ac:dyDescent="0.3">
      <c r="F223" s="1" t="s">
        <v>725</v>
      </c>
    </row>
    <row r="224" spans="6:6" x14ac:dyDescent="0.3">
      <c r="F224" s="1" t="s">
        <v>1044</v>
      </c>
    </row>
    <row r="225" spans="6:7" x14ac:dyDescent="0.3">
      <c r="F225" s="1" t="s">
        <v>1045</v>
      </c>
    </row>
    <row r="226" spans="6:7" x14ac:dyDescent="0.3">
      <c r="F226" s="1" t="s">
        <v>1046</v>
      </c>
    </row>
    <row r="227" spans="6:7" x14ac:dyDescent="0.3">
      <c r="F227" s="1" t="s">
        <v>1047</v>
      </c>
    </row>
    <row r="228" spans="6:7" x14ac:dyDescent="0.3">
      <c r="F228" s="1" t="s">
        <v>733</v>
      </c>
    </row>
    <row r="229" spans="6:7" x14ac:dyDescent="0.3">
      <c r="F229" s="1" t="s">
        <v>741</v>
      </c>
    </row>
    <row r="230" spans="6:7" x14ac:dyDescent="0.3">
      <c r="F230" s="1" t="s">
        <v>1048</v>
      </c>
    </row>
    <row r="231" spans="6:7" x14ac:dyDescent="0.3">
      <c r="F231" s="1" t="s">
        <v>1049</v>
      </c>
    </row>
    <row r="232" spans="6:7" x14ac:dyDescent="0.3">
      <c r="F232" s="1" t="s">
        <v>1050</v>
      </c>
    </row>
    <row r="233" spans="6:7" x14ac:dyDescent="0.3">
      <c r="F233" s="1" t="s">
        <v>1051</v>
      </c>
    </row>
    <row r="234" spans="6:7" x14ac:dyDescent="0.3">
      <c r="F234" s="1" t="s">
        <v>749</v>
      </c>
    </row>
    <row r="235" spans="6:7" x14ac:dyDescent="0.3">
      <c r="F235" s="1" t="s">
        <v>757</v>
      </c>
    </row>
    <row r="236" spans="6:7" x14ac:dyDescent="0.3">
      <c r="F236" s="1" t="s">
        <v>121</v>
      </c>
    </row>
    <row r="237" spans="6:7" x14ac:dyDescent="0.3">
      <c r="F237" s="1" t="s">
        <v>1052</v>
      </c>
      <c r="G237" s="1" t="s">
        <v>8</v>
      </c>
    </row>
    <row r="238" spans="6:7" x14ac:dyDescent="0.3">
      <c r="F238" s="1" t="s">
        <v>1053</v>
      </c>
    </row>
    <row r="239" spans="6:7" x14ac:dyDescent="0.3">
      <c r="F239" s="1" t="s">
        <v>1054</v>
      </c>
    </row>
    <row r="240" spans="6:7" x14ac:dyDescent="0.3">
      <c r="F240" s="1" t="s">
        <v>1055</v>
      </c>
    </row>
    <row r="241" spans="6:7" x14ac:dyDescent="0.3">
      <c r="F241" s="1" t="s">
        <v>1056</v>
      </c>
    </row>
    <row r="242" spans="6:7" x14ac:dyDescent="0.3">
      <c r="F242" s="1" t="s">
        <v>1057</v>
      </c>
    </row>
    <row r="243" spans="6:7" x14ac:dyDescent="0.3">
      <c r="F243" s="1" t="s">
        <v>769</v>
      </c>
      <c r="G243" s="1" t="s">
        <v>8</v>
      </c>
    </row>
    <row r="244" spans="6:7" x14ac:dyDescent="0.3">
      <c r="F244" s="1" t="s">
        <v>1058</v>
      </c>
    </row>
    <row r="245" spans="6:7" x14ac:dyDescent="0.3">
      <c r="F245" s="1" t="s">
        <v>1059</v>
      </c>
    </row>
    <row r="246" spans="6:7" x14ac:dyDescent="0.3">
      <c r="F246" s="1" t="s">
        <v>1060</v>
      </c>
    </row>
    <row r="247" spans="6:7" x14ac:dyDescent="0.3">
      <c r="F247" s="1" t="s">
        <v>1061</v>
      </c>
    </row>
    <row r="248" spans="6:7" x14ac:dyDescent="0.3">
      <c r="F248" s="1" t="s">
        <v>1062</v>
      </c>
    </row>
    <row r="249" spans="6:7" x14ac:dyDescent="0.3">
      <c r="F249" s="1" t="s">
        <v>256</v>
      </c>
    </row>
  </sheetData>
  <sheetProtection algorithmName="SHA-512" hashValue="M5JmOYBHY8hdFJ7EuirZ+0TZ+IBeJ8mjRQuS7aG4eDUcVPU9vNGSnGmCagI19XGOGj+lz+kh/JmSZbVixB+j0w==" saltValue="VUgBL11lSXSEiNYS96iYhA==" spinCount="100000" sheet="1" selectLockedCells="1" selectUnlockedCells="1"/>
  <sortState ref="F3:F247">
    <sortCondition ref="F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Home</vt:lpstr>
      <vt:lpstr>FRGN</vt:lpstr>
      <vt:lpstr>CPNY</vt:lpstr>
      <vt:lpstr>INDV</vt:lpstr>
      <vt:lpstr>STPT</vt:lpstr>
      <vt:lpstr>Drop Down</vt:lpstr>
      <vt:lpstr>CPNY!Print_Area</vt:lpstr>
      <vt:lpstr>FRGN!Print_Area</vt:lpstr>
      <vt:lpstr>INDV!Print_Area</vt:lpstr>
      <vt:lpstr>STPT!Print_Area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Paul Anthony</dc:creator>
  <cp:keywords/>
  <dc:description/>
  <cp:lastModifiedBy>Kelly Caudle</cp:lastModifiedBy>
  <cp:revision/>
  <dcterms:created xsi:type="dcterms:W3CDTF">2019-03-12T12:41:53Z</dcterms:created>
  <dcterms:modified xsi:type="dcterms:W3CDTF">2021-12-15T16:47:57Z</dcterms:modified>
  <cp:category/>
  <cp:contentStatus/>
</cp:coreProperties>
</file>